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jinsong_wang_wur_nl/Documents/博士/博士二年级/batch experiments/Dataset storage at 4TU/"/>
    </mc:Choice>
  </mc:AlternateContent>
  <xr:revisionPtr revIDLastSave="0" documentId="8_{994F758A-D845-46E6-AAE2-C9AB6B0E51D9}" xr6:coauthVersionLast="47" xr6:coauthVersionMax="47" xr10:uidLastSave="{00000000-0000-0000-0000-000000000000}"/>
  <bookViews>
    <workbookView xWindow="28680" yWindow="-120" windowWidth="29040" windowHeight="15840" tabRatio="647" xr2:uid="{02419CD6-4A46-41F5-B8FB-3655F308DD0F}"/>
  </bookViews>
  <sheets>
    <sheet name="Caffeine" sheetId="6" r:id="rId1"/>
    <sheet name="Benzotriazole" sheetId="11" r:id="rId2"/>
    <sheet name="BAM" sheetId="12" r:id="rId3"/>
    <sheet name="Bentazone" sheetId="13" r:id="rId4"/>
    <sheet name="Ioxitalamic acid" sheetId="14" r:id="rId5"/>
    <sheet name="Chloridazon" sheetId="15" r:id="rId6"/>
    <sheet name="Salicylic acid" sheetId="16" r:id="rId7"/>
    <sheet name="2，4-D" sheetId="17" r:id="rId8"/>
    <sheet name="MCPP" sheetId="18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16" l="1"/>
  <c r="E3" i="16"/>
  <c r="F3" i="16"/>
  <c r="G3" i="16"/>
  <c r="J3" i="16"/>
  <c r="K3" i="16"/>
  <c r="P3" i="16"/>
  <c r="Q3" i="16"/>
  <c r="R3" i="16" s="1"/>
  <c r="V3" i="16"/>
  <c r="W3" i="16"/>
  <c r="AB3" i="16"/>
  <c r="AC3" i="16"/>
  <c r="AE3" i="16" s="1"/>
  <c r="AH3" i="16"/>
  <c r="AI3" i="16"/>
  <c r="D4" i="16"/>
  <c r="E4" i="16"/>
  <c r="J4" i="16"/>
  <c r="K4" i="16"/>
  <c r="P4" i="16"/>
  <c r="S4" i="16" s="1"/>
  <c r="Q4" i="16"/>
  <c r="V4" i="16"/>
  <c r="W4" i="16"/>
  <c r="AB4" i="16"/>
  <c r="AE4" i="16" s="1"/>
  <c r="AC4" i="16"/>
  <c r="AH4" i="16"/>
  <c r="AI4" i="16"/>
  <c r="D5" i="16"/>
  <c r="E5" i="16"/>
  <c r="G5" i="16" s="1"/>
  <c r="J5" i="16"/>
  <c r="K5" i="16"/>
  <c r="P5" i="16"/>
  <c r="R5" i="16" s="1"/>
  <c r="Q5" i="16"/>
  <c r="S5" i="16"/>
  <c r="V5" i="16"/>
  <c r="W5" i="16"/>
  <c r="AB5" i="16"/>
  <c r="AC5" i="16"/>
  <c r="AH5" i="16"/>
  <c r="AI5" i="16"/>
  <c r="D6" i="16"/>
  <c r="E6" i="16"/>
  <c r="F6" i="16"/>
  <c r="J6" i="16"/>
  <c r="K6" i="16"/>
  <c r="P6" i="16"/>
  <c r="Q6" i="16"/>
  <c r="S6" i="16" s="1"/>
  <c r="V6" i="16"/>
  <c r="Y6" i="16" s="1"/>
  <c r="W6" i="16"/>
  <c r="AB6" i="16"/>
  <c r="AE6" i="16" s="1"/>
  <c r="AC6" i="16"/>
  <c r="AH6" i="16"/>
  <c r="AI6" i="16"/>
  <c r="D7" i="16"/>
  <c r="F7" i="16" s="1"/>
  <c r="E7" i="16"/>
  <c r="J7" i="16"/>
  <c r="K7" i="16"/>
  <c r="P7" i="16"/>
  <c r="S7" i="16" s="1"/>
  <c r="Q7" i="16"/>
  <c r="V7" i="16"/>
  <c r="W7" i="16"/>
  <c r="AB7" i="16"/>
  <c r="AD7" i="16" s="1"/>
  <c r="AC7" i="16"/>
  <c r="AH7" i="16"/>
  <c r="AI7" i="16"/>
  <c r="D8" i="16"/>
  <c r="E8" i="16"/>
  <c r="G8" i="16"/>
  <c r="J8" i="16"/>
  <c r="K8" i="16"/>
  <c r="P8" i="16"/>
  <c r="Q8" i="16"/>
  <c r="V8" i="16"/>
  <c r="W8" i="16"/>
  <c r="AB8" i="16"/>
  <c r="AC8" i="16"/>
  <c r="AD8" i="16"/>
  <c r="AH8" i="16"/>
  <c r="AI8" i="16"/>
  <c r="D9" i="16"/>
  <c r="E9" i="16"/>
  <c r="G9" i="16" s="1"/>
  <c r="J9" i="16"/>
  <c r="K9" i="16"/>
  <c r="P9" i="16"/>
  <c r="Q9" i="16"/>
  <c r="V9" i="16"/>
  <c r="W9" i="16"/>
  <c r="AB9" i="16"/>
  <c r="AD9" i="16" s="1"/>
  <c r="AC9" i="16"/>
  <c r="AH9" i="16"/>
  <c r="AI9" i="16"/>
  <c r="D10" i="16"/>
  <c r="G10" i="16" s="1"/>
  <c r="E10" i="16"/>
  <c r="J10" i="16"/>
  <c r="K10" i="16"/>
  <c r="P10" i="16"/>
  <c r="Q10" i="16"/>
  <c r="S10" i="16" s="1"/>
  <c r="V10" i="16"/>
  <c r="W10" i="16"/>
  <c r="AB10" i="16"/>
  <c r="AD10" i="16" s="1"/>
  <c r="AC10" i="16"/>
  <c r="AE10" i="16"/>
  <c r="AH10" i="16"/>
  <c r="AI10" i="16"/>
  <c r="D11" i="16"/>
  <c r="E11" i="16"/>
  <c r="J11" i="16"/>
  <c r="K11" i="16"/>
  <c r="P11" i="16"/>
  <c r="Q11" i="16"/>
  <c r="R11" i="16"/>
  <c r="V11" i="16"/>
  <c r="W11" i="16"/>
  <c r="AB11" i="16"/>
  <c r="AC11" i="16"/>
  <c r="AE11" i="16" s="1"/>
  <c r="AH11" i="16"/>
  <c r="AK11" i="16" s="1"/>
  <c r="AI11" i="16"/>
  <c r="D12" i="16"/>
  <c r="G12" i="16" s="1"/>
  <c r="E12" i="16"/>
  <c r="J12" i="16"/>
  <c r="K12" i="16"/>
  <c r="P12" i="16"/>
  <c r="Q12" i="16"/>
  <c r="V12" i="16"/>
  <c r="W12" i="16"/>
  <c r="AB12" i="16"/>
  <c r="AE12" i="16" s="1"/>
  <c r="AC12" i="16"/>
  <c r="AH12" i="16"/>
  <c r="AI12" i="16"/>
  <c r="D13" i="16"/>
  <c r="F13" i="16" s="1"/>
  <c r="E13" i="16"/>
  <c r="J13" i="16"/>
  <c r="K13" i="16"/>
  <c r="P13" i="16"/>
  <c r="Q13" i="16"/>
  <c r="R13" i="16" s="1"/>
  <c r="S13" i="16"/>
  <c r="V13" i="16"/>
  <c r="W13" i="16"/>
  <c r="AB13" i="16"/>
  <c r="AC13" i="16"/>
  <c r="AH13" i="16"/>
  <c r="AI13" i="16"/>
  <c r="D14" i="16"/>
  <c r="E14" i="16"/>
  <c r="F14" i="16"/>
  <c r="J14" i="16"/>
  <c r="K14" i="16"/>
  <c r="P14" i="16"/>
  <c r="Q14" i="16"/>
  <c r="S14" i="16" s="1"/>
  <c r="V14" i="16"/>
  <c r="W14" i="16"/>
  <c r="AB14" i="16"/>
  <c r="AC14" i="16"/>
  <c r="AD14" i="16" s="1"/>
  <c r="AE14" i="16"/>
  <c r="AH14" i="16"/>
  <c r="AI14" i="16"/>
  <c r="D15" i="16"/>
  <c r="F15" i="16" s="1"/>
  <c r="E15" i="16"/>
  <c r="J15" i="16"/>
  <c r="K15" i="16"/>
  <c r="P15" i="16"/>
  <c r="Q15" i="16"/>
  <c r="V15" i="16"/>
  <c r="W15" i="16"/>
  <c r="AB15" i="16"/>
  <c r="AC15" i="16"/>
  <c r="AE15" i="16" s="1"/>
  <c r="AH15" i="16"/>
  <c r="AI15" i="16"/>
  <c r="S15" i="16" l="1"/>
  <c r="R12" i="16"/>
  <c r="AJ15" i="16"/>
  <c r="R9" i="16"/>
  <c r="R6" i="16"/>
  <c r="M5" i="16"/>
  <c r="F4" i="16"/>
  <c r="AD11" i="16"/>
  <c r="Y10" i="16"/>
  <c r="G14" i="16"/>
  <c r="AD12" i="16"/>
  <c r="F11" i="16"/>
  <c r="AE8" i="16"/>
  <c r="R7" i="16"/>
  <c r="AE5" i="16"/>
  <c r="AD15" i="16"/>
  <c r="X14" i="16"/>
  <c r="R10" i="16"/>
  <c r="M9" i="16"/>
  <c r="F8" i="16"/>
  <c r="F5" i="16"/>
  <c r="AK3" i="16"/>
  <c r="AD3" i="16"/>
  <c r="R14" i="16"/>
  <c r="L13" i="16"/>
  <c r="F12" i="16"/>
  <c r="F9" i="16"/>
  <c r="AK7" i="16"/>
  <c r="AD6" i="16"/>
  <c r="R15" i="16"/>
  <c r="AD13" i="16"/>
  <c r="G13" i="16"/>
  <c r="S11" i="16"/>
  <c r="F10" i="16"/>
  <c r="R8" i="16"/>
  <c r="AE7" i="16"/>
  <c r="G6" i="16"/>
  <c r="AD4" i="16"/>
  <c r="S9" i="16"/>
  <c r="G4" i="16"/>
  <c r="AJ14" i="16"/>
  <c r="X13" i="16"/>
  <c r="L12" i="16"/>
  <c r="AJ10" i="16"/>
  <c r="X9" i="16"/>
  <c r="L8" i="16"/>
  <c r="AJ6" i="16"/>
  <c r="X5" i="16"/>
  <c r="L4" i="16"/>
  <c r="L15" i="16"/>
  <c r="AJ13" i="16"/>
  <c r="X12" i="16"/>
  <c r="M11" i="16"/>
  <c r="AK9" i="16"/>
  <c r="Y8" i="16"/>
  <c r="M7" i="16"/>
  <c r="AK5" i="16"/>
  <c r="Y4" i="16"/>
  <c r="L3" i="16"/>
  <c r="AE13" i="16"/>
  <c r="S12" i="16"/>
  <c r="G11" i="16"/>
  <c r="AE9" i="16"/>
  <c r="S8" i="16"/>
  <c r="G7" i="16"/>
  <c r="Y15" i="16"/>
  <c r="X11" i="16"/>
  <c r="L10" i="16"/>
  <c r="AJ8" i="16"/>
  <c r="X7" i="16"/>
  <c r="L6" i="16"/>
  <c r="AD5" i="16"/>
  <c r="AJ4" i="16"/>
  <c r="R4" i="16"/>
  <c r="Y3" i="16"/>
  <c r="G15" i="16"/>
  <c r="L14" i="16"/>
  <c r="AJ12" i="16"/>
  <c r="S3" i="16"/>
  <c r="AK15" i="16"/>
  <c r="AK14" i="16"/>
  <c r="M14" i="16"/>
  <c r="Y13" i="16"/>
  <c r="AK12" i="16"/>
  <c r="M12" i="16"/>
  <c r="Y11" i="16"/>
  <c r="AK10" i="16"/>
  <c r="M10" i="16"/>
  <c r="Y9" i="16"/>
  <c r="AK8" i="16"/>
  <c r="M8" i="16"/>
  <c r="Y7" i="16"/>
  <c r="AK6" i="16"/>
  <c r="M6" i="16"/>
  <c r="Y5" i="16"/>
  <c r="AK4" i="16"/>
  <c r="M4" i="16"/>
  <c r="M3" i="16"/>
  <c r="X15" i="16"/>
  <c r="AJ11" i="16"/>
  <c r="L11" i="16"/>
  <c r="X10" i="16"/>
  <c r="AJ9" i="16"/>
  <c r="L9" i="16"/>
  <c r="X8" i="16"/>
  <c r="AJ7" i="16"/>
  <c r="L7" i="16"/>
  <c r="X6" i="16"/>
  <c r="AJ5" i="16"/>
  <c r="L5" i="16"/>
  <c r="X4" i="16"/>
  <c r="AJ3" i="16"/>
  <c r="X3" i="16"/>
  <c r="M15" i="16"/>
  <c r="Y14" i="16"/>
  <c r="AK13" i="16"/>
  <c r="M13" i="16"/>
  <c r="Y12" i="16"/>
  <c r="J4" i="11"/>
  <c r="K4" i="11"/>
  <c r="J5" i="11"/>
  <c r="K5" i="11"/>
  <c r="J6" i="11"/>
  <c r="K6" i="11"/>
  <c r="J7" i="11"/>
  <c r="K7" i="11"/>
  <c r="J8" i="11"/>
  <c r="K8" i="11"/>
  <c r="J9" i="11"/>
  <c r="K9" i="11"/>
  <c r="J10" i="11"/>
  <c r="K10" i="11"/>
  <c r="J11" i="11"/>
  <c r="K11" i="11"/>
  <c r="J12" i="11"/>
  <c r="K12" i="11"/>
  <c r="J13" i="11"/>
  <c r="K13" i="11"/>
  <c r="J14" i="11"/>
  <c r="K14" i="11"/>
  <c r="J15" i="11"/>
  <c r="K15" i="11"/>
  <c r="K3" i="11"/>
  <c r="J3" i="11"/>
  <c r="D4" i="11"/>
  <c r="E4" i="11"/>
  <c r="D5" i="11"/>
  <c r="E5" i="11"/>
  <c r="D6" i="11"/>
  <c r="E6" i="11"/>
  <c r="D7" i="11"/>
  <c r="E7" i="11"/>
  <c r="D8" i="11"/>
  <c r="E8" i="11"/>
  <c r="D9" i="11"/>
  <c r="E9" i="11"/>
  <c r="D10" i="11"/>
  <c r="E10" i="11"/>
  <c r="D11" i="11"/>
  <c r="E11" i="11"/>
  <c r="D12" i="11"/>
  <c r="E12" i="11"/>
  <c r="D13" i="11"/>
  <c r="E13" i="11"/>
  <c r="D14" i="11"/>
  <c r="E14" i="11"/>
  <c r="D15" i="11"/>
  <c r="E15" i="11"/>
  <c r="E3" i="11"/>
  <c r="D3" i="11"/>
  <c r="J4" i="6"/>
  <c r="K4" i="6"/>
  <c r="J5" i="6"/>
  <c r="K5" i="6"/>
  <c r="J6" i="6"/>
  <c r="K6" i="6"/>
  <c r="J7" i="6"/>
  <c r="K7" i="6"/>
  <c r="J8" i="6"/>
  <c r="K8" i="6"/>
  <c r="J9" i="6"/>
  <c r="K9" i="6"/>
  <c r="J10" i="6"/>
  <c r="K10" i="6"/>
  <c r="J11" i="6"/>
  <c r="K11" i="6"/>
  <c r="J12" i="6"/>
  <c r="K12" i="6"/>
  <c r="J13" i="6"/>
  <c r="K13" i="6"/>
  <c r="J14" i="6"/>
  <c r="K14" i="6"/>
  <c r="J15" i="6"/>
  <c r="K15" i="6"/>
  <c r="K3" i="6"/>
  <c r="J3" i="6"/>
  <c r="D4" i="6"/>
  <c r="E4" i="6"/>
  <c r="D5" i="6"/>
  <c r="E5" i="6"/>
  <c r="D6" i="6"/>
  <c r="E6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5" i="6"/>
  <c r="E15" i="6"/>
  <c r="E3" i="6"/>
  <c r="D3" i="6"/>
  <c r="AH4" i="18"/>
  <c r="AI4" i="18"/>
  <c r="AH5" i="18"/>
  <c r="AI5" i="18"/>
  <c r="AH6" i="18"/>
  <c r="AI6" i="18"/>
  <c r="AH7" i="18"/>
  <c r="AI7" i="18"/>
  <c r="AH8" i="18"/>
  <c r="AI8" i="18"/>
  <c r="AH9" i="18"/>
  <c r="AI9" i="18"/>
  <c r="AH10" i="18"/>
  <c r="AI10" i="18"/>
  <c r="AH11" i="18"/>
  <c r="AI11" i="18"/>
  <c r="AH12" i="18"/>
  <c r="AI12" i="18"/>
  <c r="AH13" i="18"/>
  <c r="AI13" i="18"/>
  <c r="AH14" i="18"/>
  <c r="AI14" i="18"/>
  <c r="AH15" i="18"/>
  <c r="AI15" i="18"/>
  <c r="AI3" i="18"/>
  <c r="AH3" i="18"/>
  <c r="AB4" i="18"/>
  <c r="AC4" i="18"/>
  <c r="AB5" i="18"/>
  <c r="AC5" i="18"/>
  <c r="AB6" i="18"/>
  <c r="AC6" i="18"/>
  <c r="AB7" i="18"/>
  <c r="AC7" i="18"/>
  <c r="AB8" i="18"/>
  <c r="AC8" i="18"/>
  <c r="AB9" i="18"/>
  <c r="AC9" i="18"/>
  <c r="AB10" i="18"/>
  <c r="AC10" i="18"/>
  <c r="AB11" i="18"/>
  <c r="AC11" i="18"/>
  <c r="AB12" i="18"/>
  <c r="AC12" i="18"/>
  <c r="AB13" i="18"/>
  <c r="AC13" i="18"/>
  <c r="AB14" i="18"/>
  <c r="AC14" i="18"/>
  <c r="AB15" i="18"/>
  <c r="AC15" i="18"/>
  <c r="AC3" i="18"/>
  <c r="AB3" i="18"/>
  <c r="V4" i="18"/>
  <c r="W4" i="18"/>
  <c r="V5" i="18"/>
  <c r="W5" i="18"/>
  <c r="V6" i="18"/>
  <c r="W6" i="18"/>
  <c r="V7" i="18"/>
  <c r="W7" i="18"/>
  <c r="V8" i="18"/>
  <c r="W8" i="18"/>
  <c r="V9" i="18"/>
  <c r="W9" i="18"/>
  <c r="V10" i="18"/>
  <c r="W10" i="18"/>
  <c r="V11" i="18"/>
  <c r="W11" i="18"/>
  <c r="V12" i="18"/>
  <c r="W12" i="18"/>
  <c r="V13" i="18"/>
  <c r="W13" i="18"/>
  <c r="V14" i="18"/>
  <c r="W14" i="18"/>
  <c r="V15" i="18"/>
  <c r="W15" i="18"/>
  <c r="W3" i="18"/>
  <c r="V3" i="18"/>
  <c r="P4" i="18"/>
  <c r="Q4" i="18"/>
  <c r="P5" i="18"/>
  <c r="Q5" i="18"/>
  <c r="P6" i="18"/>
  <c r="Q6" i="18"/>
  <c r="P7" i="18"/>
  <c r="Q7" i="18"/>
  <c r="P8" i="18"/>
  <c r="Q8" i="18"/>
  <c r="P9" i="18"/>
  <c r="Q9" i="18"/>
  <c r="P10" i="18"/>
  <c r="Q10" i="18"/>
  <c r="P11" i="18"/>
  <c r="Q11" i="18"/>
  <c r="P12" i="18"/>
  <c r="Q12" i="18"/>
  <c r="P13" i="18"/>
  <c r="Q13" i="18"/>
  <c r="P14" i="18"/>
  <c r="Q14" i="18"/>
  <c r="P15" i="18"/>
  <c r="Q15" i="18"/>
  <c r="Q3" i="18"/>
  <c r="P3" i="18"/>
  <c r="J4" i="18"/>
  <c r="K4" i="18"/>
  <c r="J5" i="18"/>
  <c r="K5" i="18"/>
  <c r="J6" i="18"/>
  <c r="K6" i="18"/>
  <c r="J7" i="18"/>
  <c r="K7" i="18"/>
  <c r="J8" i="18"/>
  <c r="K8" i="18"/>
  <c r="J9" i="18"/>
  <c r="K9" i="18"/>
  <c r="J10" i="18"/>
  <c r="K10" i="18"/>
  <c r="J11" i="18"/>
  <c r="K11" i="18"/>
  <c r="J12" i="18"/>
  <c r="K12" i="18"/>
  <c r="J13" i="18"/>
  <c r="K13" i="18"/>
  <c r="J14" i="18"/>
  <c r="K14" i="18"/>
  <c r="J15" i="18"/>
  <c r="K15" i="18"/>
  <c r="K3" i="18"/>
  <c r="J3" i="18"/>
  <c r="D4" i="18"/>
  <c r="E4" i="18"/>
  <c r="D5" i="18"/>
  <c r="E5" i="18"/>
  <c r="D6" i="18"/>
  <c r="E6" i="18"/>
  <c r="D7" i="18"/>
  <c r="E7" i="18"/>
  <c r="D8" i="18"/>
  <c r="E8" i="18"/>
  <c r="D9" i="18"/>
  <c r="E9" i="18"/>
  <c r="D10" i="18"/>
  <c r="E10" i="18"/>
  <c r="D11" i="18"/>
  <c r="E11" i="18"/>
  <c r="D12" i="18"/>
  <c r="E12" i="18"/>
  <c r="D13" i="18"/>
  <c r="E13" i="18"/>
  <c r="D14" i="18"/>
  <c r="E14" i="18"/>
  <c r="D15" i="18"/>
  <c r="E15" i="18"/>
  <c r="E3" i="18"/>
  <c r="D3" i="18"/>
  <c r="AH4" i="17"/>
  <c r="AI4" i="17"/>
  <c r="AH5" i="17"/>
  <c r="AI5" i="17"/>
  <c r="AH6" i="17"/>
  <c r="AI6" i="17"/>
  <c r="AH7" i="17"/>
  <c r="AI7" i="17"/>
  <c r="AH8" i="17"/>
  <c r="AI8" i="17"/>
  <c r="AH9" i="17"/>
  <c r="AI9" i="17"/>
  <c r="AH10" i="17"/>
  <c r="AI10" i="17"/>
  <c r="AH11" i="17"/>
  <c r="AI11" i="17"/>
  <c r="AH12" i="17"/>
  <c r="AI12" i="17"/>
  <c r="AH13" i="17"/>
  <c r="AI13" i="17"/>
  <c r="AH14" i="17"/>
  <c r="AI14" i="17"/>
  <c r="AH15" i="17"/>
  <c r="AI15" i="17"/>
  <c r="AI3" i="17"/>
  <c r="AH3" i="17"/>
  <c r="AB4" i="17"/>
  <c r="AC4" i="17"/>
  <c r="AB5" i="17"/>
  <c r="AC5" i="17"/>
  <c r="AB6" i="17"/>
  <c r="AC6" i="17"/>
  <c r="AB7" i="17"/>
  <c r="AC7" i="17"/>
  <c r="AB8" i="17"/>
  <c r="AC8" i="17"/>
  <c r="AB9" i="17"/>
  <c r="AC9" i="17"/>
  <c r="AB10" i="17"/>
  <c r="AC10" i="17"/>
  <c r="AB11" i="17"/>
  <c r="AC11" i="17"/>
  <c r="AB12" i="17"/>
  <c r="AC12" i="17"/>
  <c r="AB13" i="17"/>
  <c r="AC13" i="17"/>
  <c r="AB14" i="17"/>
  <c r="AC14" i="17"/>
  <c r="AB15" i="17"/>
  <c r="AC15" i="17"/>
  <c r="AC3" i="17"/>
  <c r="AB3" i="17"/>
  <c r="V4" i="17"/>
  <c r="W4" i="17"/>
  <c r="V5" i="17"/>
  <c r="W5" i="17"/>
  <c r="V6" i="17"/>
  <c r="W6" i="17"/>
  <c r="V7" i="17"/>
  <c r="W7" i="17"/>
  <c r="V8" i="17"/>
  <c r="W8" i="17"/>
  <c r="V9" i="17"/>
  <c r="W9" i="17"/>
  <c r="V10" i="17"/>
  <c r="W10" i="17"/>
  <c r="V11" i="17"/>
  <c r="W11" i="17"/>
  <c r="V12" i="17"/>
  <c r="W12" i="17"/>
  <c r="V13" i="17"/>
  <c r="W13" i="17"/>
  <c r="V14" i="17"/>
  <c r="W14" i="17"/>
  <c r="V15" i="17"/>
  <c r="W15" i="17"/>
  <c r="W3" i="17"/>
  <c r="V3" i="17"/>
  <c r="P4" i="17"/>
  <c r="Q4" i="17"/>
  <c r="P5" i="17"/>
  <c r="Q5" i="17"/>
  <c r="P6" i="17"/>
  <c r="Q6" i="17"/>
  <c r="P7" i="17"/>
  <c r="Q7" i="17"/>
  <c r="P8" i="17"/>
  <c r="Q8" i="17"/>
  <c r="P9" i="17"/>
  <c r="Q9" i="17"/>
  <c r="P10" i="17"/>
  <c r="Q10" i="17"/>
  <c r="P11" i="17"/>
  <c r="Q11" i="17"/>
  <c r="P12" i="17"/>
  <c r="Q12" i="17"/>
  <c r="P13" i="17"/>
  <c r="Q13" i="17"/>
  <c r="P14" i="17"/>
  <c r="Q14" i="17"/>
  <c r="P15" i="17"/>
  <c r="Q15" i="17"/>
  <c r="Q3" i="17"/>
  <c r="P3" i="17"/>
  <c r="J4" i="17"/>
  <c r="K4" i="17"/>
  <c r="J5" i="17"/>
  <c r="K5" i="17"/>
  <c r="J6" i="17"/>
  <c r="K6" i="17"/>
  <c r="J7" i="17"/>
  <c r="K7" i="17"/>
  <c r="J8" i="17"/>
  <c r="K8" i="17"/>
  <c r="J9" i="17"/>
  <c r="K9" i="17"/>
  <c r="J10" i="17"/>
  <c r="K10" i="17"/>
  <c r="J11" i="17"/>
  <c r="K11" i="17"/>
  <c r="J12" i="17"/>
  <c r="K12" i="17"/>
  <c r="J13" i="17"/>
  <c r="K13" i="17"/>
  <c r="J14" i="17"/>
  <c r="K14" i="17"/>
  <c r="J15" i="17"/>
  <c r="K15" i="17"/>
  <c r="K3" i="17"/>
  <c r="J3" i="17"/>
  <c r="D4" i="17"/>
  <c r="E4" i="17"/>
  <c r="D5" i="17"/>
  <c r="E5" i="17"/>
  <c r="D6" i="17"/>
  <c r="E6" i="17"/>
  <c r="D7" i="17"/>
  <c r="E7" i="17"/>
  <c r="D8" i="17"/>
  <c r="E8" i="17"/>
  <c r="D9" i="17"/>
  <c r="E9" i="17"/>
  <c r="D10" i="17"/>
  <c r="E10" i="17"/>
  <c r="D11" i="17"/>
  <c r="E11" i="17"/>
  <c r="D12" i="17"/>
  <c r="E12" i="17"/>
  <c r="D13" i="17"/>
  <c r="E13" i="17"/>
  <c r="D14" i="17"/>
  <c r="E14" i="17"/>
  <c r="D15" i="17"/>
  <c r="E15" i="17"/>
  <c r="E3" i="17"/>
  <c r="D3" i="17"/>
  <c r="AH4" i="15"/>
  <c r="AI4" i="15"/>
  <c r="AH5" i="15"/>
  <c r="AI5" i="15"/>
  <c r="AH6" i="15"/>
  <c r="AI6" i="15"/>
  <c r="AH7" i="15"/>
  <c r="AI7" i="15"/>
  <c r="AH8" i="15"/>
  <c r="AI8" i="15"/>
  <c r="AH9" i="15"/>
  <c r="AI9" i="15"/>
  <c r="AH10" i="15"/>
  <c r="AI10" i="15"/>
  <c r="AH11" i="15"/>
  <c r="AI11" i="15"/>
  <c r="AH12" i="15"/>
  <c r="AI12" i="15"/>
  <c r="AH13" i="15"/>
  <c r="AI13" i="15"/>
  <c r="AH14" i="15"/>
  <c r="AI14" i="15"/>
  <c r="AH15" i="15"/>
  <c r="AI15" i="15"/>
  <c r="AI3" i="15"/>
  <c r="AH3" i="15"/>
  <c r="AB4" i="15"/>
  <c r="AC4" i="15"/>
  <c r="AB5" i="15"/>
  <c r="AC5" i="15"/>
  <c r="AB6" i="15"/>
  <c r="AC6" i="15"/>
  <c r="AB7" i="15"/>
  <c r="AC7" i="15"/>
  <c r="AB8" i="15"/>
  <c r="AC8" i="15"/>
  <c r="AB9" i="15"/>
  <c r="AC9" i="15"/>
  <c r="AB10" i="15"/>
  <c r="AC10" i="15"/>
  <c r="AB11" i="15"/>
  <c r="AC11" i="15"/>
  <c r="AB12" i="15"/>
  <c r="AC12" i="15"/>
  <c r="AB13" i="15"/>
  <c r="AC13" i="15"/>
  <c r="AB14" i="15"/>
  <c r="AC14" i="15"/>
  <c r="AB15" i="15"/>
  <c r="AC15" i="15"/>
  <c r="AC3" i="15"/>
  <c r="AB3" i="15"/>
  <c r="V4" i="15"/>
  <c r="W4" i="15"/>
  <c r="V5" i="15"/>
  <c r="W5" i="15"/>
  <c r="V6" i="15"/>
  <c r="W6" i="15"/>
  <c r="V7" i="15"/>
  <c r="W7" i="15"/>
  <c r="V8" i="15"/>
  <c r="W8" i="15"/>
  <c r="V9" i="15"/>
  <c r="W9" i="15"/>
  <c r="V10" i="15"/>
  <c r="W10" i="15"/>
  <c r="V11" i="15"/>
  <c r="W11" i="15"/>
  <c r="V12" i="15"/>
  <c r="W12" i="15"/>
  <c r="V13" i="15"/>
  <c r="W13" i="15"/>
  <c r="V14" i="15"/>
  <c r="W14" i="15"/>
  <c r="V15" i="15"/>
  <c r="W15" i="15"/>
  <c r="W3" i="15"/>
  <c r="V3" i="15"/>
  <c r="P4" i="15"/>
  <c r="Q4" i="15"/>
  <c r="P5" i="15"/>
  <c r="Q5" i="15"/>
  <c r="P6" i="15"/>
  <c r="Q6" i="15"/>
  <c r="P7" i="15"/>
  <c r="Q7" i="15"/>
  <c r="P8" i="15"/>
  <c r="Q8" i="15"/>
  <c r="P9" i="15"/>
  <c r="Q9" i="15"/>
  <c r="P10" i="15"/>
  <c r="Q10" i="15"/>
  <c r="P11" i="15"/>
  <c r="Q11" i="15"/>
  <c r="P12" i="15"/>
  <c r="Q12" i="15"/>
  <c r="P13" i="15"/>
  <c r="Q13" i="15"/>
  <c r="P14" i="15"/>
  <c r="Q14" i="15"/>
  <c r="P15" i="15"/>
  <c r="Q15" i="15"/>
  <c r="Q3" i="15"/>
  <c r="P3" i="15"/>
  <c r="J4" i="15"/>
  <c r="K4" i="15"/>
  <c r="J5" i="15"/>
  <c r="K5" i="15"/>
  <c r="J6" i="15"/>
  <c r="K6" i="15"/>
  <c r="J7" i="15"/>
  <c r="K7" i="15"/>
  <c r="J8" i="15"/>
  <c r="K8" i="15"/>
  <c r="J9" i="15"/>
  <c r="K9" i="15"/>
  <c r="J10" i="15"/>
  <c r="K10" i="15"/>
  <c r="J11" i="15"/>
  <c r="K11" i="15"/>
  <c r="J12" i="15"/>
  <c r="K12" i="15"/>
  <c r="J13" i="15"/>
  <c r="K13" i="15"/>
  <c r="J14" i="15"/>
  <c r="K14" i="15"/>
  <c r="J15" i="15"/>
  <c r="K15" i="15"/>
  <c r="K3" i="15"/>
  <c r="J3" i="15"/>
  <c r="D4" i="15"/>
  <c r="E4" i="15"/>
  <c r="D5" i="15"/>
  <c r="E5" i="15"/>
  <c r="D6" i="15"/>
  <c r="E6" i="15"/>
  <c r="D7" i="15"/>
  <c r="E7" i="15"/>
  <c r="D8" i="15"/>
  <c r="E8" i="15"/>
  <c r="D9" i="15"/>
  <c r="E9" i="15"/>
  <c r="D10" i="15"/>
  <c r="E10" i="15"/>
  <c r="D11" i="15"/>
  <c r="E11" i="15"/>
  <c r="D12" i="15"/>
  <c r="E12" i="15"/>
  <c r="D13" i="15"/>
  <c r="E13" i="15"/>
  <c r="D14" i="15"/>
  <c r="E14" i="15"/>
  <c r="D15" i="15"/>
  <c r="E15" i="15"/>
  <c r="E3" i="15"/>
  <c r="D3" i="15"/>
  <c r="AH4" i="14"/>
  <c r="AI4" i="14"/>
  <c r="AH5" i="14"/>
  <c r="AI5" i="14"/>
  <c r="AH6" i="14"/>
  <c r="AI6" i="14"/>
  <c r="AH7" i="14"/>
  <c r="AI7" i="14"/>
  <c r="AH8" i="14"/>
  <c r="AI8" i="14"/>
  <c r="AH9" i="14"/>
  <c r="AI9" i="14"/>
  <c r="AH10" i="14"/>
  <c r="AI10" i="14"/>
  <c r="AH11" i="14"/>
  <c r="AI11" i="14"/>
  <c r="AH12" i="14"/>
  <c r="AI12" i="14"/>
  <c r="AH13" i="14"/>
  <c r="AI13" i="14"/>
  <c r="AH14" i="14"/>
  <c r="AI14" i="14"/>
  <c r="AH15" i="14"/>
  <c r="AI15" i="14"/>
  <c r="AI3" i="14"/>
  <c r="AH3" i="14"/>
  <c r="AB4" i="14"/>
  <c r="AC4" i="14"/>
  <c r="AB5" i="14"/>
  <c r="AC5" i="14"/>
  <c r="AB6" i="14"/>
  <c r="AC6" i="14"/>
  <c r="AB7" i="14"/>
  <c r="AC7" i="14"/>
  <c r="AB8" i="14"/>
  <c r="AC8" i="14"/>
  <c r="AB9" i="14"/>
  <c r="AC9" i="14"/>
  <c r="AB10" i="14"/>
  <c r="AC10" i="14"/>
  <c r="AB11" i="14"/>
  <c r="AC11" i="14"/>
  <c r="AB12" i="14"/>
  <c r="AC12" i="14"/>
  <c r="AB13" i="14"/>
  <c r="AC13" i="14"/>
  <c r="AB14" i="14"/>
  <c r="AC14" i="14"/>
  <c r="AB15" i="14"/>
  <c r="AC15" i="14"/>
  <c r="AC3" i="14"/>
  <c r="AB3" i="14"/>
  <c r="V4" i="14"/>
  <c r="W4" i="14"/>
  <c r="V5" i="14"/>
  <c r="W5" i="14"/>
  <c r="V6" i="14"/>
  <c r="W6" i="14"/>
  <c r="V7" i="14"/>
  <c r="W7" i="14"/>
  <c r="V8" i="14"/>
  <c r="W8" i="14"/>
  <c r="V9" i="14"/>
  <c r="W9" i="14"/>
  <c r="V10" i="14"/>
  <c r="W10" i="14"/>
  <c r="V11" i="14"/>
  <c r="W11" i="14"/>
  <c r="V12" i="14"/>
  <c r="W12" i="14"/>
  <c r="V13" i="14"/>
  <c r="W13" i="14"/>
  <c r="V14" i="14"/>
  <c r="W14" i="14"/>
  <c r="V15" i="14"/>
  <c r="W15" i="14"/>
  <c r="W3" i="14"/>
  <c r="V3" i="14"/>
  <c r="P4" i="14"/>
  <c r="Q4" i="14"/>
  <c r="P5" i="14"/>
  <c r="Q5" i="14"/>
  <c r="P6" i="14"/>
  <c r="Q6" i="14"/>
  <c r="P7" i="14"/>
  <c r="Q7" i="14"/>
  <c r="P8" i="14"/>
  <c r="Q8" i="14"/>
  <c r="P9" i="14"/>
  <c r="Q9" i="14"/>
  <c r="P10" i="14"/>
  <c r="Q10" i="14"/>
  <c r="P11" i="14"/>
  <c r="Q11" i="14"/>
  <c r="P12" i="14"/>
  <c r="Q12" i="14"/>
  <c r="P13" i="14"/>
  <c r="Q13" i="14"/>
  <c r="P14" i="14"/>
  <c r="Q14" i="14"/>
  <c r="P15" i="14"/>
  <c r="Q15" i="14"/>
  <c r="Q3" i="14"/>
  <c r="P3" i="14"/>
  <c r="J4" i="14"/>
  <c r="K4" i="14"/>
  <c r="J5" i="14"/>
  <c r="K5" i="14"/>
  <c r="J6" i="14"/>
  <c r="K6" i="14"/>
  <c r="J7" i="14"/>
  <c r="K7" i="14"/>
  <c r="J8" i="14"/>
  <c r="K8" i="14"/>
  <c r="J9" i="14"/>
  <c r="K9" i="14"/>
  <c r="J10" i="14"/>
  <c r="K10" i="14"/>
  <c r="J11" i="14"/>
  <c r="K11" i="14"/>
  <c r="J12" i="14"/>
  <c r="K12" i="14"/>
  <c r="J13" i="14"/>
  <c r="K13" i="14"/>
  <c r="J14" i="14"/>
  <c r="K14" i="14"/>
  <c r="J15" i="14"/>
  <c r="K15" i="14"/>
  <c r="K3" i="14"/>
  <c r="J3" i="14"/>
  <c r="D4" i="14"/>
  <c r="E4" i="14"/>
  <c r="D5" i="14"/>
  <c r="E5" i="14"/>
  <c r="D6" i="14"/>
  <c r="E6" i="14"/>
  <c r="D7" i="14"/>
  <c r="E7" i="14"/>
  <c r="D8" i="14"/>
  <c r="E8" i="14"/>
  <c r="D9" i="14"/>
  <c r="E9" i="14"/>
  <c r="D10" i="14"/>
  <c r="E10" i="14"/>
  <c r="D11" i="14"/>
  <c r="E11" i="14"/>
  <c r="D12" i="14"/>
  <c r="E12" i="14"/>
  <c r="D13" i="14"/>
  <c r="E13" i="14"/>
  <c r="D14" i="14"/>
  <c r="E14" i="14"/>
  <c r="D15" i="14"/>
  <c r="E15" i="14"/>
  <c r="E3" i="14"/>
  <c r="D3" i="14"/>
  <c r="AH4" i="12"/>
  <c r="AI4" i="12"/>
  <c r="AH5" i="12"/>
  <c r="AI5" i="12"/>
  <c r="AH6" i="12"/>
  <c r="AI6" i="12"/>
  <c r="AH7" i="12"/>
  <c r="AI7" i="12"/>
  <c r="AH8" i="12"/>
  <c r="AI8" i="12"/>
  <c r="AH9" i="12"/>
  <c r="AI9" i="12"/>
  <c r="AH10" i="12"/>
  <c r="AI10" i="12"/>
  <c r="AH11" i="12"/>
  <c r="AI11" i="12"/>
  <c r="AH12" i="12"/>
  <c r="AI12" i="12"/>
  <c r="AH13" i="12"/>
  <c r="AI13" i="12"/>
  <c r="AH14" i="12"/>
  <c r="AI14" i="12"/>
  <c r="AH15" i="12"/>
  <c r="AI15" i="12"/>
  <c r="AI3" i="12"/>
  <c r="AH3" i="12"/>
  <c r="AB4" i="12"/>
  <c r="AC4" i="12"/>
  <c r="AB5" i="12"/>
  <c r="AC5" i="12"/>
  <c r="AB6" i="12"/>
  <c r="AC6" i="12"/>
  <c r="AB7" i="12"/>
  <c r="AC7" i="12"/>
  <c r="AB8" i="12"/>
  <c r="AC8" i="12"/>
  <c r="AB9" i="12"/>
  <c r="AC9" i="12"/>
  <c r="AB10" i="12"/>
  <c r="AC10" i="12"/>
  <c r="AB11" i="12"/>
  <c r="AC11" i="12"/>
  <c r="AB12" i="12"/>
  <c r="AC12" i="12"/>
  <c r="AB13" i="12"/>
  <c r="AC13" i="12"/>
  <c r="AB14" i="12"/>
  <c r="AC14" i="12"/>
  <c r="AB15" i="12"/>
  <c r="AC15" i="12"/>
  <c r="AC3" i="12"/>
  <c r="AB3" i="12"/>
  <c r="V4" i="12"/>
  <c r="W4" i="12"/>
  <c r="V5" i="12"/>
  <c r="W5" i="12"/>
  <c r="V6" i="12"/>
  <c r="W6" i="12"/>
  <c r="V7" i="12"/>
  <c r="W7" i="12"/>
  <c r="V8" i="12"/>
  <c r="W8" i="12"/>
  <c r="V9" i="12"/>
  <c r="W9" i="12"/>
  <c r="V10" i="12"/>
  <c r="W10" i="12"/>
  <c r="V11" i="12"/>
  <c r="W11" i="12"/>
  <c r="V12" i="12"/>
  <c r="W12" i="12"/>
  <c r="V13" i="12"/>
  <c r="W13" i="12"/>
  <c r="V14" i="12"/>
  <c r="W14" i="12"/>
  <c r="V15" i="12"/>
  <c r="W15" i="12"/>
  <c r="W3" i="12"/>
  <c r="V3" i="12"/>
  <c r="P4" i="12"/>
  <c r="Q4" i="12"/>
  <c r="P5" i="12"/>
  <c r="Q5" i="12"/>
  <c r="P6" i="12"/>
  <c r="Q6" i="12"/>
  <c r="P7" i="12"/>
  <c r="Q7" i="12"/>
  <c r="P8" i="12"/>
  <c r="Q8" i="12"/>
  <c r="P9" i="12"/>
  <c r="Q9" i="12"/>
  <c r="P10" i="12"/>
  <c r="Q10" i="12"/>
  <c r="P11" i="12"/>
  <c r="Q11" i="12"/>
  <c r="P12" i="12"/>
  <c r="Q12" i="12"/>
  <c r="P13" i="12"/>
  <c r="Q13" i="12"/>
  <c r="P14" i="12"/>
  <c r="Q14" i="12"/>
  <c r="P15" i="12"/>
  <c r="Q15" i="12"/>
  <c r="Q3" i="12"/>
  <c r="P3" i="12"/>
  <c r="J4" i="12"/>
  <c r="K4" i="12"/>
  <c r="J5" i="12"/>
  <c r="K5" i="12"/>
  <c r="J6" i="12"/>
  <c r="K6" i="12"/>
  <c r="J7" i="12"/>
  <c r="K7" i="12"/>
  <c r="J8" i="12"/>
  <c r="K8" i="12"/>
  <c r="J9" i="12"/>
  <c r="K9" i="12"/>
  <c r="J10" i="12"/>
  <c r="K10" i="12"/>
  <c r="J11" i="12"/>
  <c r="K11" i="12"/>
  <c r="J12" i="12"/>
  <c r="K12" i="12"/>
  <c r="J13" i="12"/>
  <c r="K13" i="12"/>
  <c r="J14" i="12"/>
  <c r="K14" i="12"/>
  <c r="J15" i="12"/>
  <c r="K15" i="12"/>
  <c r="K3" i="12"/>
  <c r="J3" i="12"/>
  <c r="D4" i="12"/>
  <c r="E4" i="12"/>
  <c r="D5" i="12"/>
  <c r="E5" i="12"/>
  <c r="D6" i="12"/>
  <c r="E6" i="12"/>
  <c r="D7" i="12"/>
  <c r="E7" i="12"/>
  <c r="D8" i="12"/>
  <c r="E8" i="12"/>
  <c r="D9" i="12"/>
  <c r="E9" i="12"/>
  <c r="D10" i="12"/>
  <c r="E10" i="12"/>
  <c r="D11" i="12"/>
  <c r="E11" i="12"/>
  <c r="D12" i="12"/>
  <c r="E12" i="12"/>
  <c r="D13" i="12"/>
  <c r="E13" i="12"/>
  <c r="D14" i="12"/>
  <c r="E14" i="12"/>
  <c r="D15" i="12"/>
  <c r="E15" i="12"/>
  <c r="E3" i="12"/>
  <c r="D3" i="12"/>
  <c r="AH4" i="11"/>
  <c r="AI4" i="11"/>
  <c r="AH5" i="11"/>
  <c r="AI5" i="11"/>
  <c r="AH6" i="11"/>
  <c r="AI6" i="11"/>
  <c r="AH7" i="11"/>
  <c r="AI7" i="11"/>
  <c r="AH8" i="11"/>
  <c r="AI8" i="11"/>
  <c r="AH9" i="11"/>
  <c r="AI9" i="11"/>
  <c r="AH10" i="11"/>
  <c r="AI10" i="11"/>
  <c r="AH11" i="11"/>
  <c r="AI11" i="11"/>
  <c r="AH12" i="11"/>
  <c r="AI12" i="11"/>
  <c r="AH13" i="11"/>
  <c r="AI13" i="11"/>
  <c r="AH14" i="11"/>
  <c r="AI14" i="11"/>
  <c r="AH15" i="11"/>
  <c r="AI15" i="11"/>
  <c r="AI3" i="11"/>
  <c r="AH3" i="11"/>
  <c r="AB4" i="11"/>
  <c r="AC4" i="11"/>
  <c r="AB5" i="11"/>
  <c r="AC5" i="11"/>
  <c r="AB6" i="11"/>
  <c r="AC6" i="11"/>
  <c r="AB7" i="11"/>
  <c r="AC7" i="11"/>
  <c r="AB8" i="11"/>
  <c r="AC8" i="11"/>
  <c r="AB9" i="11"/>
  <c r="AC9" i="11"/>
  <c r="AB10" i="11"/>
  <c r="AC10" i="11"/>
  <c r="AB11" i="11"/>
  <c r="AC11" i="11"/>
  <c r="AB12" i="11"/>
  <c r="AC12" i="11"/>
  <c r="AB13" i="11"/>
  <c r="AC13" i="11"/>
  <c r="AB14" i="11"/>
  <c r="AC14" i="11"/>
  <c r="AB15" i="11"/>
  <c r="AC15" i="11"/>
  <c r="AC3" i="11"/>
  <c r="AB3" i="11"/>
  <c r="V4" i="11"/>
  <c r="W4" i="11"/>
  <c r="V5" i="11"/>
  <c r="W5" i="11"/>
  <c r="V6" i="11"/>
  <c r="W6" i="11"/>
  <c r="V7" i="11"/>
  <c r="W7" i="11"/>
  <c r="V8" i="11"/>
  <c r="W8" i="11"/>
  <c r="V9" i="11"/>
  <c r="W9" i="11"/>
  <c r="V10" i="11"/>
  <c r="W10" i="11"/>
  <c r="V11" i="11"/>
  <c r="W11" i="11"/>
  <c r="V12" i="11"/>
  <c r="W12" i="11"/>
  <c r="V13" i="11"/>
  <c r="W13" i="11"/>
  <c r="V14" i="11"/>
  <c r="W14" i="11"/>
  <c r="V15" i="11"/>
  <c r="W15" i="11"/>
  <c r="W3" i="11"/>
  <c r="V3" i="11"/>
  <c r="P4" i="11"/>
  <c r="Q4" i="11"/>
  <c r="P5" i="11"/>
  <c r="Q5" i="11"/>
  <c r="P6" i="11"/>
  <c r="Q6" i="11"/>
  <c r="P7" i="11"/>
  <c r="Q7" i="11"/>
  <c r="P8" i="11"/>
  <c r="Q8" i="11"/>
  <c r="P9" i="11"/>
  <c r="Q9" i="11"/>
  <c r="P10" i="11"/>
  <c r="Q10" i="11"/>
  <c r="P11" i="11"/>
  <c r="Q11" i="11"/>
  <c r="P12" i="11"/>
  <c r="Q12" i="11"/>
  <c r="P13" i="11"/>
  <c r="Q13" i="11"/>
  <c r="P14" i="11"/>
  <c r="Q14" i="11"/>
  <c r="P15" i="11"/>
  <c r="Q15" i="11"/>
  <c r="Q3" i="11"/>
  <c r="P3" i="11"/>
  <c r="AH4" i="6"/>
  <c r="AI4" i="6"/>
  <c r="AH5" i="6"/>
  <c r="AI5" i="6"/>
  <c r="AH6" i="6"/>
  <c r="AI6" i="6"/>
  <c r="AH7" i="6"/>
  <c r="AI7" i="6"/>
  <c r="AH8" i="6"/>
  <c r="AI8" i="6"/>
  <c r="AH9" i="6"/>
  <c r="AI9" i="6"/>
  <c r="AH10" i="6"/>
  <c r="AI10" i="6"/>
  <c r="AH11" i="6"/>
  <c r="AI11" i="6"/>
  <c r="AH12" i="6"/>
  <c r="AI12" i="6"/>
  <c r="AH13" i="6"/>
  <c r="AI13" i="6"/>
  <c r="AH14" i="6"/>
  <c r="AI14" i="6"/>
  <c r="AH15" i="6"/>
  <c r="AI15" i="6"/>
  <c r="AI3" i="6"/>
  <c r="AH3" i="6"/>
  <c r="AB4" i="6"/>
  <c r="AC4" i="6"/>
  <c r="AB5" i="6"/>
  <c r="AC5" i="6"/>
  <c r="AB6" i="6"/>
  <c r="AC6" i="6"/>
  <c r="AB7" i="6"/>
  <c r="AC7" i="6"/>
  <c r="AB8" i="6"/>
  <c r="AC8" i="6"/>
  <c r="AB9" i="6"/>
  <c r="AC9" i="6"/>
  <c r="AB10" i="6"/>
  <c r="AC10" i="6"/>
  <c r="AB11" i="6"/>
  <c r="AC11" i="6"/>
  <c r="AB12" i="6"/>
  <c r="AC12" i="6"/>
  <c r="AB13" i="6"/>
  <c r="AC13" i="6"/>
  <c r="AB14" i="6"/>
  <c r="AC14" i="6"/>
  <c r="AB15" i="6"/>
  <c r="AC15" i="6"/>
  <c r="AC3" i="6"/>
  <c r="AB3" i="6"/>
  <c r="V4" i="6"/>
  <c r="W4" i="6"/>
  <c r="V5" i="6"/>
  <c r="W5" i="6"/>
  <c r="V6" i="6"/>
  <c r="W6" i="6"/>
  <c r="V7" i="6"/>
  <c r="W7" i="6"/>
  <c r="V8" i="6"/>
  <c r="W8" i="6"/>
  <c r="V9" i="6"/>
  <c r="W9" i="6"/>
  <c r="V10" i="6"/>
  <c r="W10" i="6"/>
  <c r="V11" i="6"/>
  <c r="W11" i="6"/>
  <c r="V12" i="6"/>
  <c r="W12" i="6"/>
  <c r="V13" i="6"/>
  <c r="W13" i="6"/>
  <c r="V14" i="6"/>
  <c r="W14" i="6"/>
  <c r="V15" i="6"/>
  <c r="W15" i="6"/>
  <c r="W3" i="6"/>
  <c r="V3" i="6"/>
  <c r="P4" i="6"/>
  <c r="Q4" i="6"/>
  <c r="P5" i="6"/>
  <c r="Q5" i="6"/>
  <c r="P6" i="6"/>
  <c r="Q6" i="6"/>
  <c r="P7" i="6"/>
  <c r="Q7" i="6"/>
  <c r="P8" i="6"/>
  <c r="Q8" i="6"/>
  <c r="P9" i="6"/>
  <c r="Q9" i="6"/>
  <c r="P10" i="6"/>
  <c r="Q10" i="6"/>
  <c r="P11" i="6"/>
  <c r="Q11" i="6"/>
  <c r="P12" i="6"/>
  <c r="Q12" i="6"/>
  <c r="P13" i="6"/>
  <c r="Q13" i="6"/>
  <c r="P14" i="6"/>
  <c r="Q14" i="6"/>
  <c r="P15" i="6"/>
  <c r="Q15" i="6"/>
  <c r="Q3" i="6"/>
  <c r="P3" i="6"/>
  <c r="AI4" i="13"/>
  <c r="AI5" i="13"/>
  <c r="AI6" i="13"/>
  <c r="AI7" i="13"/>
  <c r="AI8" i="13"/>
  <c r="AI9" i="13"/>
  <c r="AI10" i="13"/>
  <c r="AI11" i="13"/>
  <c r="AI12" i="13"/>
  <c r="AI13" i="13"/>
  <c r="AI14" i="13"/>
  <c r="AI15" i="13"/>
  <c r="AI3" i="13"/>
  <c r="AH4" i="13"/>
  <c r="AH5" i="13"/>
  <c r="AH6" i="13"/>
  <c r="AH7" i="13"/>
  <c r="AH8" i="13"/>
  <c r="AH9" i="13"/>
  <c r="AH10" i="13"/>
  <c r="AH11" i="13"/>
  <c r="AH12" i="13"/>
  <c r="AH13" i="13"/>
  <c r="AH14" i="13"/>
  <c r="AH15" i="13"/>
  <c r="AH3" i="13"/>
  <c r="AC4" i="13"/>
  <c r="AC5" i="13"/>
  <c r="AC6" i="13"/>
  <c r="AC7" i="13"/>
  <c r="AC8" i="13"/>
  <c r="AC9" i="13"/>
  <c r="AC10" i="13"/>
  <c r="AC11" i="13"/>
  <c r="AC12" i="13"/>
  <c r="AC13" i="13"/>
  <c r="AC14" i="13"/>
  <c r="AC15" i="13"/>
  <c r="AC3" i="13"/>
  <c r="AB4" i="13"/>
  <c r="AB5" i="13"/>
  <c r="AB6" i="13"/>
  <c r="AB7" i="13"/>
  <c r="AB8" i="13"/>
  <c r="AB9" i="13"/>
  <c r="AB10" i="13"/>
  <c r="AB11" i="13"/>
  <c r="AB12" i="13"/>
  <c r="AB13" i="13"/>
  <c r="AB14" i="13"/>
  <c r="AB15" i="13"/>
  <c r="AB3" i="13"/>
  <c r="W4" i="13"/>
  <c r="W5" i="13"/>
  <c r="W6" i="13"/>
  <c r="W7" i="13"/>
  <c r="W8" i="13"/>
  <c r="W9" i="13"/>
  <c r="W10" i="13"/>
  <c r="W11" i="13"/>
  <c r="W12" i="13"/>
  <c r="W13" i="13"/>
  <c r="W14" i="13"/>
  <c r="W15" i="13"/>
  <c r="W3" i="13"/>
  <c r="V4" i="13"/>
  <c r="V5" i="13"/>
  <c r="V6" i="13"/>
  <c r="V7" i="13"/>
  <c r="V8" i="13"/>
  <c r="V9" i="13"/>
  <c r="V10" i="13"/>
  <c r="V11" i="13"/>
  <c r="V12" i="13"/>
  <c r="V13" i="13"/>
  <c r="V14" i="13"/>
  <c r="V15" i="13"/>
  <c r="V3" i="13"/>
  <c r="Q4" i="13"/>
  <c r="Q5" i="13"/>
  <c r="Q6" i="13"/>
  <c r="Q7" i="13"/>
  <c r="Q8" i="13"/>
  <c r="Q9" i="13"/>
  <c r="Q10" i="13"/>
  <c r="Q11" i="13"/>
  <c r="Q12" i="13"/>
  <c r="Q13" i="13"/>
  <c r="Q14" i="13"/>
  <c r="Q15" i="13"/>
  <c r="P4" i="13"/>
  <c r="P5" i="13"/>
  <c r="P6" i="13"/>
  <c r="P7" i="13"/>
  <c r="P8" i="13"/>
  <c r="P9" i="13"/>
  <c r="P10" i="13"/>
  <c r="P11" i="13"/>
  <c r="P12" i="13"/>
  <c r="P13" i="13"/>
  <c r="P14" i="13"/>
  <c r="P15" i="13"/>
  <c r="Q3" i="13"/>
  <c r="P3" i="13"/>
  <c r="K4" i="13"/>
  <c r="K5" i="13"/>
  <c r="K6" i="13"/>
  <c r="K7" i="13"/>
  <c r="K8" i="13"/>
  <c r="K9" i="13"/>
  <c r="K10" i="13"/>
  <c r="K11" i="13"/>
  <c r="K12" i="13"/>
  <c r="K13" i="13"/>
  <c r="K14" i="13"/>
  <c r="K15" i="13"/>
  <c r="J4" i="13"/>
  <c r="J5" i="13"/>
  <c r="J6" i="13"/>
  <c r="J7" i="13"/>
  <c r="J8" i="13"/>
  <c r="J9" i="13"/>
  <c r="J10" i="13"/>
  <c r="J11" i="13"/>
  <c r="J12" i="13"/>
  <c r="J13" i="13"/>
  <c r="J14" i="13"/>
  <c r="J15" i="13"/>
  <c r="K3" i="13"/>
  <c r="J3" i="13"/>
  <c r="E4" i="13"/>
  <c r="E5" i="13"/>
  <c r="E6" i="13"/>
  <c r="E7" i="13"/>
  <c r="E8" i="13"/>
  <c r="E9" i="13"/>
  <c r="E10" i="13"/>
  <c r="E11" i="13"/>
  <c r="E12" i="13"/>
  <c r="E13" i="13"/>
  <c r="E14" i="13"/>
  <c r="E15" i="13"/>
  <c r="E3" i="13"/>
  <c r="D4" i="13"/>
  <c r="D5" i="13"/>
  <c r="D6" i="13"/>
  <c r="D7" i="13"/>
  <c r="D8" i="13"/>
  <c r="D9" i="13"/>
  <c r="D10" i="13"/>
  <c r="D11" i="13"/>
  <c r="D12" i="13"/>
  <c r="D13" i="13"/>
  <c r="D14" i="13"/>
  <c r="D15" i="13"/>
  <c r="D3" i="13"/>
  <c r="G10" i="12" l="1"/>
  <c r="AJ15" i="18"/>
  <c r="AK15" i="18"/>
  <c r="AE15" i="18"/>
  <c r="AD15" i="18"/>
  <c r="X15" i="18"/>
  <c r="Y15" i="18"/>
  <c r="R15" i="18"/>
  <c r="S15" i="18"/>
  <c r="L15" i="18"/>
  <c r="M15" i="18"/>
  <c r="F15" i="18"/>
  <c r="G15" i="18"/>
  <c r="AJ14" i="18"/>
  <c r="X14" i="18"/>
  <c r="R14" i="18"/>
  <c r="S14" i="18"/>
  <c r="L14" i="18"/>
  <c r="F14" i="18"/>
  <c r="G14" i="18"/>
  <c r="AJ15" i="17"/>
  <c r="AK15" i="17"/>
  <c r="AD15" i="17"/>
  <c r="X15" i="17"/>
  <c r="Y15" i="17"/>
  <c r="R15" i="17"/>
  <c r="S15" i="17"/>
  <c r="L15" i="17"/>
  <c r="M15" i="17"/>
  <c r="X14" i="17"/>
  <c r="Y14" i="17"/>
  <c r="AD14" i="17"/>
  <c r="AE14" i="17"/>
  <c r="AJ14" i="17"/>
  <c r="AK14" i="17"/>
  <c r="R14" i="17"/>
  <c r="L14" i="17"/>
  <c r="M14" i="17"/>
  <c r="F15" i="17"/>
  <c r="G15" i="17"/>
  <c r="G14" i="17"/>
  <c r="F14" i="17"/>
  <c r="AJ15" i="15"/>
  <c r="AD15" i="15"/>
  <c r="AE15" i="15"/>
  <c r="X15" i="15"/>
  <c r="S15" i="15"/>
  <c r="L15" i="15"/>
  <c r="F15" i="15"/>
  <c r="AJ14" i="15"/>
  <c r="AD14" i="15"/>
  <c r="AE14" i="15"/>
  <c r="X14" i="15"/>
  <c r="R14" i="15"/>
  <c r="L14" i="15"/>
  <c r="F14" i="15"/>
  <c r="G14" i="15"/>
  <c r="AJ15" i="14"/>
  <c r="AK15" i="14"/>
  <c r="AD15" i="14"/>
  <c r="AE15" i="14"/>
  <c r="X15" i="14"/>
  <c r="R15" i="14"/>
  <c r="L15" i="14"/>
  <c r="M15" i="14"/>
  <c r="F15" i="14"/>
  <c r="AJ14" i="14"/>
  <c r="AD14" i="14"/>
  <c r="X14" i="14"/>
  <c r="Y14" i="14"/>
  <c r="R14" i="14"/>
  <c r="S14" i="14"/>
  <c r="L14" i="14"/>
  <c r="M14" i="14"/>
  <c r="F14" i="14"/>
  <c r="G14" i="14"/>
  <c r="AJ15" i="13"/>
  <c r="AD15" i="13"/>
  <c r="R15" i="13"/>
  <c r="L15" i="13"/>
  <c r="M15" i="13"/>
  <c r="AJ14" i="13"/>
  <c r="AD14" i="13"/>
  <c r="AE14" i="13"/>
  <c r="S14" i="13"/>
  <c r="L14" i="13"/>
  <c r="AJ15" i="12"/>
  <c r="AK15" i="12"/>
  <c r="AD15" i="12"/>
  <c r="AE15" i="12"/>
  <c r="X15" i="12"/>
  <c r="R15" i="12"/>
  <c r="S15" i="12"/>
  <c r="L15" i="12"/>
  <c r="M15" i="12"/>
  <c r="F15" i="12"/>
  <c r="G15" i="12"/>
  <c r="AJ14" i="12"/>
  <c r="AK14" i="12"/>
  <c r="AE14" i="12"/>
  <c r="AD14" i="12"/>
  <c r="Y14" i="12"/>
  <c r="S14" i="12"/>
  <c r="M14" i="12"/>
  <c r="G14" i="12"/>
  <c r="AD15" i="11"/>
  <c r="Y15" i="11"/>
  <c r="S15" i="11"/>
  <c r="R15" i="11"/>
  <c r="AK14" i="11"/>
  <c r="AJ14" i="11"/>
  <c r="AE14" i="11"/>
  <c r="AD14" i="11"/>
  <c r="X14" i="11"/>
  <c r="Y14" i="11"/>
  <c r="S14" i="11"/>
  <c r="R14" i="11"/>
  <c r="M15" i="11"/>
  <c r="M14" i="11"/>
  <c r="L14" i="11"/>
  <c r="G14" i="11"/>
  <c r="G15" i="11"/>
  <c r="F14" i="11"/>
  <c r="F15" i="11"/>
  <c r="AK15" i="6"/>
  <c r="AJ15" i="6"/>
  <c r="AE15" i="6"/>
  <c r="Y15" i="6"/>
  <c r="X15" i="6"/>
  <c r="S15" i="6"/>
  <c r="R15" i="6"/>
  <c r="M15" i="6"/>
  <c r="L15" i="6"/>
  <c r="F15" i="6"/>
  <c r="G15" i="6"/>
  <c r="AK14" i="6"/>
  <c r="AJ14" i="6"/>
  <c r="AD14" i="6"/>
  <c r="X14" i="6"/>
  <c r="Y14" i="6"/>
  <c r="S14" i="6"/>
  <c r="R14" i="6"/>
  <c r="M14" i="6"/>
  <c r="L14" i="6"/>
  <c r="G14" i="6"/>
  <c r="F14" i="6"/>
  <c r="F14" i="13" l="1"/>
  <c r="Y14" i="13"/>
  <c r="X14" i="13"/>
  <c r="AK14" i="18"/>
  <c r="AD14" i="18"/>
  <c r="AK15" i="13"/>
  <c r="Y15" i="13"/>
  <c r="X15" i="13"/>
  <c r="AJ15" i="11"/>
  <c r="AK15" i="11"/>
  <c r="AE15" i="11"/>
  <c r="AE14" i="18"/>
  <c r="Y14" i="18"/>
  <c r="M14" i="18"/>
  <c r="AE15" i="17"/>
  <c r="S14" i="17"/>
  <c r="AK15" i="15"/>
  <c r="Y15" i="15"/>
  <c r="R15" i="15"/>
  <c r="M15" i="15"/>
  <c r="G15" i="15"/>
  <c r="AK14" i="15"/>
  <c r="Y14" i="15"/>
  <c r="M14" i="15"/>
  <c r="S14" i="15"/>
  <c r="Y15" i="14"/>
  <c r="S15" i="14"/>
  <c r="G15" i="14"/>
  <c r="AK14" i="14"/>
  <c r="AE14" i="14"/>
  <c r="AE15" i="13"/>
  <c r="F15" i="13"/>
  <c r="R14" i="13"/>
  <c r="G14" i="13"/>
  <c r="S15" i="13"/>
  <c r="G15" i="13"/>
  <c r="AK14" i="13"/>
  <c r="M14" i="13"/>
  <c r="Y15" i="12"/>
  <c r="R14" i="12"/>
  <c r="L14" i="12"/>
  <c r="X14" i="12"/>
  <c r="F14" i="12"/>
  <c r="X15" i="11"/>
  <c r="L15" i="11"/>
  <c r="AD15" i="6"/>
  <c r="AE14" i="6"/>
  <c r="R3" i="14"/>
  <c r="S13" i="14"/>
  <c r="R13" i="14"/>
  <c r="R12" i="14"/>
  <c r="S12" i="14"/>
  <c r="S11" i="14"/>
  <c r="R11" i="14"/>
  <c r="R10" i="14"/>
  <c r="S10" i="14"/>
  <c r="S9" i="14"/>
  <c r="R9" i="14"/>
  <c r="R8" i="14"/>
  <c r="S8" i="14"/>
  <c r="S7" i="14"/>
  <c r="R7" i="14"/>
  <c r="R6" i="14"/>
  <c r="S6" i="14"/>
  <c r="S5" i="14"/>
  <c r="R5" i="14"/>
  <c r="R4" i="14"/>
  <c r="S4" i="14"/>
  <c r="S3" i="14"/>
  <c r="M13" i="14"/>
  <c r="L13" i="14"/>
  <c r="M12" i="14"/>
  <c r="M11" i="14"/>
  <c r="M10" i="14"/>
  <c r="M9" i="14"/>
  <c r="M8" i="14"/>
  <c r="M7" i="14"/>
  <c r="M6" i="14"/>
  <c r="M5" i="14"/>
  <c r="L5" i="14"/>
  <c r="M4" i="14"/>
  <c r="M3" i="14"/>
  <c r="L3" i="14" l="1"/>
  <c r="L11" i="14"/>
  <c r="L9" i="14"/>
  <c r="L7" i="14"/>
  <c r="L4" i="14"/>
  <c r="L6" i="14"/>
  <c r="L8" i="14"/>
  <c r="L10" i="14"/>
  <c r="L12" i="14"/>
  <c r="X7" i="14" l="1"/>
  <c r="X5" i="14"/>
  <c r="G3" i="15"/>
  <c r="Y6" i="15"/>
  <c r="AJ3" i="18"/>
  <c r="AJ13" i="18"/>
  <c r="AD7" i="18"/>
  <c r="AD13" i="18"/>
  <c r="X13" i="18"/>
  <c r="X3" i="18"/>
  <c r="X4" i="18"/>
  <c r="X6" i="18"/>
  <c r="Y12" i="18"/>
  <c r="S7" i="18"/>
  <c r="R9" i="18"/>
  <c r="S12" i="18"/>
  <c r="S11" i="18"/>
  <c r="G3" i="18"/>
  <c r="G8" i="18"/>
  <c r="G9" i="18"/>
  <c r="G6" i="18"/>
  <c r="G11" i="18"/>
  <c r="S13" i="18"/>
  <c r="R12" i="18"/>
  <c r="L12" i="18"/>
  <c r="AJ10" i="18"/>
  <c r="L9" i="18"/>
  <c r="AK8" i="18"/>
  <c r="AJ8" i="18"/>
  <c r="AD8" i="18"/>
  <c r="S8" i="18"/>
  <c r="L8" i="18"/>
  <c r="M8" i="18"/>
  <c r="AJ7" i="18"/>
  <c r="L7" i="18"/>
  <c r="R6" i="18"/>
  <c r="AJ5" i="18"/>
  <c r="Y5" i="18"/>
  <c r="X5" i="18"/>
  <c r="S5" i="18"/>
  <c r="R4" i="18"/>
  <c r="AE3" i="18"/>
  <c r="AK4" i="17"/>
  <c r="AK12" i="17"/>
  <c r="Y8" i="17"/>
  <c r="R4" i="17"/>
  <c r="S12" i="17"/>
  <c r="L3" i="17"/>
  <c r="M4" i="17"/>
  <c r="G6" i="17"/>
  <c r="G8" i="17"/>
  <c r="F12" i="17"/>
  <c r="R12" i="17"/>
  <c r="AK9" i="17"/>
  <c r="AJ9" i="17"/>
  <c r="M9" i="17"/>
  <c r="AE8" i="17"/>
  <c r="M8" i="17"/>
  <c r="AK7" i="17"/>
  <c r="S7" i="17"/>
  <c r="L7" i="17"/>
  <c r="M7" i="17"/>
  <c r="AJ6" i="17"/>
  <c r="M6" i="17"/>
  <c r="AK5" i="17"/>
  <c r="AJ5" i="17"/>
  <c r="Y5" i="17"/>
  <c r="X5" i="17"/>
  <c r="S5" i="17"/>
  <c r="L5" i="17"/>
  <c r="M5" i="17"/>
  <c r="G5" i="17"/>
  <c r="F4" i="17"/>
  <c r="AK3" i="17"/>
  <c r="Y3" i="17"/>
  <c r="AJ4" i="15"/>
  <c r="AK13" i="15"/>
  <c r="AK3" i="15"/>
  <c r="AE5" i="15"/>
  <c r="Y4" i="15"/>
  <c r="X8" i="15"/>
  <c r="X9" i="15"/>
  <c r="S4" i="15"/>
  <c r="S7" i="15"/>
  <c r="S3" i="15"/>
  <c r="M6" i="15"/>
  <c r="M4" i="15"/>
  <c r="M5" i="15"/>
  <c r="M12" i="15"/>
  <c r="S6" i="15"/>
  <c r="X4" i="15"/>
  <c r="M3" i="15"/>
  <c r="AJ12" i="14"/>
  <c r="AK7" i="14"/>
  <c r="AE12" i="14"/>
  <c r="AE13" i="14"/>
  <c r="G9" i="14"/>
  <c r="G10" i="14"/>
  <c r="G5" i="14"/>
  <c r="G6" i="14"/>
  <c r="G3" i="14"/>
  <c r="AE6" i="14"/>
  <c r="AE4" i="14"/>
  <c r="G4" i="14"/>
  <c r="AK3" i="14"/>
  <c r="AJ6" i="13"/>
  <c r="AK9" i="13"/>
  <c r="AK4" i="13"/>
  <c r="AK5" i="13"/>
  <c r="AK3" i="13"/>
  <c r="AD9" i="13"/>
  <c r="AD11" i="13"/>
  <c r="AD4" i="13"/>
  <c r="AE5" i="13"/>
  <c r="AD6" i="13"/>
  <c r="AD7" i="13"/>
  <c r="AD12" i="13"/>
  <c r="AD13" i="13"/>
  <c r="Y8" i="13"/>
  <c r="Y9" i="13"/>
  <c r="Y3" i="13"/>
  <c r="S5" i="13"/>
  <c r="R12" i="13"/>
  <c r="M6" i="13"/>
  <c r="M7" i="13"/>
  <c r="M5" i="13"/>
  <c r="L11" i="13"/>
  <c r="M13" i="13"/>
  <c r="G4" i="13"/>
  <c r="F6" i="13"/>
  <c r="F3" i="13"/>
  <c r="Y6" i="13"/>
  <c r="R6" i="13"/>
  <c r="S3" i="13"/>
  <c r="M3" i="13"/>
  <c r="AE11" i="12"/>
  <c r="AD6" i="12"/>
  <c r="AE7" i="12"/>
  <c r="AD9" i="12"/>
  <c r="AE13" i="12"/>
  <c r="F5" i="12"/>
  <c r="G6" i="12"/>
  <c r="F13" i="12"/>
  <c r="AD13" i="12"/>
  <c r="X9" i="12"/>
  <c r="F7" i="12"/>
  <c r="L3" i="12"/>
  <c r="AD6" i="11"/>
  <c r="AE7" i="11"/>
  <c r="AD9" i="11"/>
  <c r="Y9" i="11"/>
  <c r="Y11" i="11"/>
  <c r="X7" i="11"/>
  <c r="S4" i="11"/>
  <c r="S6" i="11"/>
  <c r="S13" i="11"/>
  <c r="L4" i="11"/>
  <c r="L6" i="11"/>
  <c r="G13" i="11"/>
  <c r="M5" i="11"/>
  <c r="G5" i="11"/>
  <c r="AE3" i="11"/>
  <c r="Y3" i="11"/>
  <c r="G3" i="11"/>
  <c r="AJ10" i="6"/>
  <c r="AK13" i="6"/>
  <c r="AE12" i="6"/>
  <c r="AD8" i="6"/>
  <c r="X9" i="6"/>
  <c r="X11" i="6"/>
  <c r="X13" i="6"/>
  <c r="AK7" i="6"/>
  <c r="AK6" i="6"/>
  <c r="AK5" i="6"/>
  <c r="AK4" i="6"/>
  <c r="AK3" i="6"/>
  <c r="AE13" i="6"/>
  <c r="AD13" i="6"/>
  <c r="AE7" i="6"/>
  <c r="AD7" i="6"/>
  <c r="AD6" i="6"/>
  <c r="AE5" i="6"/>
  <c r="AD5" i="6"/>
  <c r="AD4" i="6"/>
  <c r="X12" i="6"/>
  <c r="Y12" i="6"/>
  <c r="X7" i="6"/>
  <c r="X6" i="6"/>
  <c r="Y6" i="6"/>
  <c r="X4" i="6"/>
  <c r="Y4" i="6"/>
  <c r="X3" i="6"/>
  <c r="Y13" i="13" l="1"/>
  <c r="G11" i="15"/>
  <c r="S8" i="15"/>
  <c r="L5" i="15"/>
  <c r="S5" i="15"/>
  <c r="Y11" i="15"/>
  <c r="AD8" i="13"/>
  <c r="G3" i="13"/>
  <c r="AD5" i="13"/>
  <c r="X5" i="13"/>
  <c r="Y7" i="13"/>
  <c r="X9" i="13"/>
  <c r="L3" i="13"/>
  <c r="R3" i="13"/>
  <c r="Y10" i="13"/>
  <c r="Y4" i="12"/>
  <c r="F11" i="12"/>
  <c r="AE9" i="12"/>
  <c r="AE6" i="12"/>
  <c r="AD11" i="18"/>
  <c r="G13" i="17"/>
  <c r="G13" i="14"/>
  <c r="AD13" i="11"/>
  <c r="F13" i="17"/>
  <c r="F9" i="17"/>
  <c r="Y12" i="17"/>
  <c r="Y13" i="15"/>
  <c r="X11" i="15"/>
  <c r="Y8" i="15"/>
  <c r="X12" i="18"/>
  <c r="Y8" i="18"/>
  <c r="Y12" i="13"/>
  <c r="AE9" i="13"/>
  <c r="AD10" i="13"/>
  <c r="AE10" i="13"/>
  <c r="X4" i="14"/>
  <c r="X3" i="14"/>
  <c r="X9" i="14"/>
  <c r="X7" i="18"/>
  <c r="AE13" i="15"/>
  <c r="S12" i="15"/>
  <c r="M10" i="15"/>
  <c r="G8" i="15"/>
  <c r="X6" i="15"/>
  <c r="Y7" i="15"/>
  <c r="X7" i="15"/>
  <c r="AE9" i="6"/>
  <c r="AJ12" i="6"/>
  <c r="AK8" i="6"/>
  <c r="AK10" i="12"/>
  <c r="G12" i="12"/>
  <c r="G8" i="12"/>
  <c r="Y5" i="13"/>
  <c r="X7" i="13"/>
  <c r="AJ8" i="14"/>
  <c r="G12" i="14"/>
  <c r="X10" i="15"/>
  <c r="G12" i="15"/>
  <c r="G4" i="15"/>
  <c r="Y7" i="17"/>
  <c r="AJ11" i="18"/>
  <c r="AK11" i="18"/>
  <c r="AK13" i="18"/>
  <c r="AK10" i="18"/>
  <c r="AK3" i="18"/>
  <c r="AK5" i="18"/>
  <c r="AK7" i="18"/>
  <c r="AK12" i="18"/>
  <c r="AK4" i="18"/>
  <c r="AK9" i="18"/>
  <c r="AK6" i="18"/>
  <c r="AJ4" i="18"/>
  <c r="AJ12" i="18"/>
  <c r="AJ6" i="18"/>
  <c r="AJ9" i="18"/>
  <c r="AE10" i="18"/>
  <c r="AE9" i="18"/>
  <c r="AD10" i="18"/>
  <c r="AD9" i="18"/>
  <c r="AE6" i="18"/>
  <c r="AE7" i="18"/>
  <c r="AE8" i="18"/>
  <c r="AE11" i="18"/>
  <c r="AE13" i="18"/>
  <c r="AE4" i="18"/>
  <c r="AE5" i="18"/>
  <c r="AE12" i="18"/>
  <c r="AD12" i="18"/>
  <c r="AD6" i="18"/>
  <c r="AD4" i="18"/>
  <c r="AD5" i="18"/>
  <c r="AD3" i="18"/>
  <c r="X9" i="18"/>
  <c r="X11" i="18"/>
  <c r="X10" i="18"/>
  <c r="X8" i="18"/>
  <c r="Y3" i="18"/>
  <c r="Y9" i="18"/>
  <c r="Y10" i="18"/>
  <c r="Y11" i="18"/>
  <c r="Y4" i="18"/>
  <c r="Y6" i="18"/>
  <c r="Y13" i="18"/>
  <c r="Y7" i="18"/>
  <c r="S9" i="18"/>
  <c r="S3" i="18"/>
  <c r="R10" i="18"/>
  <c r="R3" i="18"/>
  <c r="S4" i="18"/>
  <c r="S10" i="18"/>
  <c r="S6" i="18"/>
  <c r="R7" i="18"/>
  <c r="R13" i="18"/>
  <c r="R5" i="18"/>
  <c r="R11" i="18"/>
  <c r="R8" i="18"/>
  <c r="M11" i="18"/>
  <c r="M3" i="18"/>
  <c r="M5" i="18"/>
  <c r="M7" i="18"/>
  <c r="M9" i="18"/>
  <c r="M4" i="18"/>
  <c r="M6" i="18"/>
  <c r="M13" i="18"/>
  <c r="M10" i="18"/>
  <c r="M12" i="18"/>
  <c r="L6" i="18"/>
  <c r="L3" i="18"/>
  <c r="L11" i="18"/>
  <c r="L13" i="18"/>
  <c r="L10" i="18"/>
  <c r="L5" i="18"/>
  <c r="L4" i="18"/>
  <c r="F7" i="18"/>
  <c r="G13" i="18"/>
  <c r="G5" i="18"/>
  <c r="F12" i="18"/>
  <c r="F4" i="18"/>
  <c r="G4" i="18"/>
  <c r="G12" i="18"/>
  <c r="G10" i="18"/>
  <c r="G7" i="18"/>
  <c r="F9" i="18"/>
  <c r="F6" i="18"/>
  <c r="F5" i="18"/>
  <c r="F13" i="18"/>
  <c r="F10" i="18"/>
  <c r="F3" i="18"/>
  <c r="F11" i="18"/>
  <c r="F8" i="18"/>
  <c r="AJ4" i="17"/>
  <c r="AK10" i="17"/>
  <c r="AK11" i="17"/>
  <c r="AK8" i="17"/>
  <c r="AJ11" i="17"/>
  <c r="AK13" i="17"/>
  <c r="AJ3" i="17"/>
  <c r="AK6" i="17"/>
  <c r="AJ12" i="17"/>
  <c r="AJ8" i="17"/>
  <c r="AJ7" i="17"/>
  <c r="AJ10" i="17"/>
  <c r="AJ13" i="17"/>
  <c r="AD3" i="17"/>
  <c r="AD10" i="17"/>
  <c r="AE9" i="17"/>
  <c r="AE3" i="17"/>
  <c r="AE10" i="17"/>
  <c r="AE11" i="17"/>
  <c r="AE12" i="17"/>
  <c r="AE13" i="17"/>
  <c r="AE4" i="17"/>
  <c r="AE6" i="17"/>
  <c r="AD9" i="17"/>
  <c r="AE5" i="17"/>
  <c r="AE7" i="17"/>
  <c r="AD8" i="17"/>
  <c r="AD11" i="17"/>
  <c r="AD12" i="17"/>
  <c r="AD13" i="17"/>
  <c r="Y11" i="17"/>
  <c r="X4" i="17"/>
  <c r="Y10" i="17"/>
  <c r="X7" i="17"/>
  <c r="Y13" i="17"/>
  <c r="Y4" i="17"/>
  <c r="Y6" i="17"/>
  <c r="Y9" i="17"/>
  <c r="X10" i="17"/>
  <c r="X6" i="17"/>
  <c r="X11" i="17"/>
  <c r="X13" i="17"/>
  <c r="X8" i="17"/>
  <c r="X3" i="17"/>
  <c r="X9" i="17"/>
  <c r="X12" i="17"/>
  <c r="S4" i="17"/>
  <c r="S10" i="17"/>
  <c r="S8" i="17"/>
  <c r="S13" i="17"/>
  <c r="R9" i="17"/>
  <c r="R11" i="17"/>
  <c r="R8" i="17"/>
  <c r="R13" i="17"/>
  <c r="R10" i="17"/>
  <c r="R3" i="17"/>
  <c r="S6" i="17"/>
  <c r="S3" i="17"/>
  <c r="S9" i="17"/>
  <c r="S11" i="17"/>
  <c r="M11" i="17"/>
  <c r="M10" i="17"/>
  <c r="M3" i="17"/>
  <c r="L4" i="17"/>
  <c r="L6" i="17"/>
  <c r="M12" i="17"/>
  <c r="M13" i="17"/>
  <c r="L13" i="17"/>
  <c r="L8" i="17"/>
  <c r="L9" i="17"/>
  <c r="L10" i="17"/>
  <c r="L11" i="17"/>
  <c r="L12" i="17"/>
  <c r="G9" i="17"/>
  <c r="G10" i="17"/>
  <c r="F10" i="17"/>
  <c r="G3" i="17"/>
  <c r="G11" i="17"/>
  <c r="G4" i="17"/>
  <c r="G12" i="17"/>
  <c r="G7" i="17"/>
  <c r="F11" i="17"/>
  <c r="F3" i="17"/>
  <c r="AD4" i="17"/>
  <c r="F5" i="17"/>
  <c r="R5" i="17"/>
  <c r="AD5" i="17"/>
  <c r="F6" i="17"/>
  <c r="R6" i="17"/>
  <c r="AD6" i="17"/>
  <c r="F7" i="17"/>
  <c r="R7" i="17"/>
  <c r="AD7" i="17"/>
  <c r="F8" i="17"/>
  <c r="AJ5" i="15"/>
  <c r="AJ10" i="15"/>
  <c r="AK5" i="15"/>
  <c r="AK7" i="15"/>
  <c r="AK10" i="15"/>
  <c r="AK12" i="15"/>
  <c r="AK9" i="15"/>
  <c r="AJ13" i="15"/>
  <c r="AK4" i="15"/>
  <c r="AK8" i="15"/>
  <c r="AK11" i="15"/>
  <c r="AK6" i="15"/>
  <c r="AJ3" i="15"/>
  <c r="AJ12" i="15"/>
  <c r="AJ6" i="15"/>
  <c r="AJ8" i="15"/>
  <c r="AJ7" i="15"/>
  <c r="AJ9" i="15"/>
  <c r="AJ11" i="15"/>
  <c r="AE6" i="15"/>
  <c r="AE12" i="15"/>
  <c r="AE4" i="15"/>
  <c r="AE10" i="15"/>
  <c r="AE9" i="15"/>
  <c r="AE3" i="15"/>
  <c r="AE8" i="15"/>
  <c r="AE7" i="15"/>
  <c r="AE11" i="15"/>
  <c r="Y10" i="15"/>
  <c r="Y9" i="15"/>
  <c r="X5" i="15"/>
  <c r="X3" i="15"/>
  <c r="Y12" i="15"/>
  <c r="Y3" i="15"/>
  <c r="Y5" i="15"/>
  <c r="X12" i="15"/>
  <c r="X13" i="15"/>
  <c r="S11" i="15"/>
  <c r="S10" i="15"/>
  <c r="S13" i="15"/>
  <c r="S9" i="15"/>
  <c r="L13" i="15"/>
  <c r="M11" i="15"/>
  <c r="M13" i="15"/>
  <c r="L8" i="15"/>
  <c r="L10" i="15"/>
  <c r="L7" i="15"/>
  <c r="M7" i="15"/>
  <c r="M9" i="15"/>
  <c r="M8" i="15"/>
  <c r="L4" i="15"/>
  <c r="L12" i="15"/>
  <c r="L9" i="15"/>
  <c r="L6" i="15"/>
  <c r="L3" i="15"/>
  <c r="L11" i="15"/>
  <c r="G6" i="15"/>
  <c r="G10" i="15"/>
  <c r="G5" i="15"/>
  <c r="G13" i="15"/>
  <c r="G9" i="15"/>
  <c r="G7" i="15"/>
  <c r="F3" i="15"/>
  <c r="R3" i="15"/>
  <c r="AD3" i="15"/>
  <c r="F4" i="15"/>
  <c r="R4" i="15"/>
  <c r="AD4" i="15"/>
  <c r="F5" i="15"/>
  <c r="R5" i="15"/>
  <c r="AD5" i="15"/>
  <c r="F6" i="15"/>
  <c r="R6" i="15"/>
  <c r="AD6" i="15"/>
  <c r="F7" i="15"/>
  <c r="R7" i="15"/>
  <c r="AD7" i="15"/>
  <c r="F8" i="15"/>
  <c r="R8" i="15"/>
  <c r="AD8" i="15"/>
  <c r="F9" i="15"/>
  <c r="R9" i="15"/>
  <c r="AD9" i="15"/>
  <c r="F10" i="15"/>
  <c r="R10" i="15"/>
  <c r="AD10" i="15"/>
  <c r="F11" i="15"/>
  <c r="R11" i="15"/>
  <c r="AD11" i="15"/>
  <c r="F12" i="15"/>
  <c r="R12" i="15"/>
  <c r="AD12" i="15"/>
  <c r="F13" i="15"/>
  <c r="R13" i="15"/>
  <c r="AD13" i="15"/>
  <c r="AJ7" i="14"/>
  <c r="X13" i="14"/>
  <c r="AE11" i="14"/>
  <c r="X8" i="14"/>
  <c r="AJ11" i="14"/>
  <c r="G8" i="14"/>
  <c r="AJ13" i="14"/>
  <c r="AK5" i="14"/>
  <c r="AJ10" i="14"/>
  <c r="AJ4" i="14"/>
  <c r="AJ6" i="14"/>
  <c r="AJ5" i="14"/>
  <c r="AJ3" i="14"/>
  <c r="AJ9" i="14"/>
  <c r="AK11" i="14"/>
  <c r="AK9" i="14"/>
  <c r="AK6" i="14"/>
  <c r="AK8" i="14"/>
  <c r="AK10" i="14"/>
  <c r="AK12" i="14"/>
  <c r="AK13" i="14"/>
  <c r="AK4" i="14"/>
  <c r="AE5" i="14"/>
  <c r="AE10" i="14"/>
  <c r="AE3" i="14"/>
  <c r="AE8" i="14"/>
  <c r="AE9" i="14"/>
  <c r="AE7" i="14"/>
  <c r="X10" i="14"/>
  <c r="Y6" i="14"/>
  <c r="X12" i="14"/>
  <c r="X6" i="14"/>
  <c r="X11" i="14"/>
  <c r="Y5" i="14"/>
  <c r="Y10" i="14"/>
  <c r="Y12" i="14"/>
  <c r="Y8" i="14"/>
  <c r="Y3" i="14"/>
  <c r="Y7" i="14"/>
  <c r="Y13" i="14"/>
  <c r="Y4" i="14"/>
  <c r="Y9" i="14"/>
  <c r="Y11" i="14"/>
  <c r="R9" i="13"/>
  <c r="S8" i="13"/>
  <c r="R7" i="13"/>
  <c r="S7" i="13"/>
  <c r="S13" i="13"/>
  <c r="M8" i="13"/>
  <c r="L7" i="13"/>
  <c r="G11" i="14"/>
  <c r="G7" i="14"/>
  <c r="F3" i="14"/>
  <c r="AD3" i="14"/>
  <c r="F4" i="14"/>
  <c r="AD4" i="14"/>
  <c r="F5" i="14"/>
  <c r="AD5" i="14"/>
  <c r="F6" i="14"/>
  <c r="AD6" i="14"/>
  <c r="F7" i="14"/>
  <c r="AD7" i="14"/>
  <c r="F8" i="14"/>
  <c r="AD8" i="14"/>
  <c r="F9" i="14"/>
  <c r="AD9" i="14"/>
  <c r="F10" i="14"/>
  <c r="AD10" i="14"/>
  <c r="F11" i="14"/>
  <c r="AD11" i="14"/>
  <c r="F12" i="14"/>
  <c r="AD12" i="14"/>
  <c r="F13" i="14"/>
  <c r="AD13" i="14"/>
  <c r="AK13" i="13"/>
  <c r="AK12" i="13"/>
  <c r="AJ8" i="13"/>
  <c r="AK10" i="13"/>
  <c r="AJ3" i="13"/>
  <c r="AJ9" i="13"/>
  <c r="AJ12" i="13"/>
  <c r="AK7" i="13"/>
  <c r="AK11" i="13"/>
  <c r="AJ11" i="13"/>
  <c r="AJ4" i="13"/>
  <c r="AK8" i="13"/>
  <c r="AJ5" i="13"/>
  <c r="AK6" i="13"/>
  <c r="AJ7" i="13"/>
  <c r="AJ10" i="13"/>
  <c r="AJ13" i="13"/>
  <c r="AE4" i="13"/>
  <c r="AE3" i="13"/>
  <c r="AE6" i="13"/>
  <c r="AE12" i="13"/>
  <c r="AE11" i="13"/>
  <c r="AE13" i="13"/>
  <c r="AE7" i="13"/>
  <c r="AE8" i="13"/>
  <c r="AD3" i="13"/>
  <c r="X8" i="13"/>
  <c r="Y4" i="13"/>
  <c r="X3" i="13"/>
  <c r="X6" i="13"/>
  <c r="X13" i="13"/>
  <c r="X4" i="13"/>
  <c r="Y11" i="13"/>
  <c r="X10" i="13"/>
  <c r="X12" i="13"/>
  <c r="X11" i="13"/>
  <c r="S11" i="13"/>
  <c r="S10" i="13"/>
  <c r="S9" i="13"/>
  <c r="S4" i="13"/>
  <c r="S12" i="13"/>
  <c r="S6" i="13"/>
  <c r="R8" i="13"/>
  <c r="R13" i="13"/>
  <c r="R5" i="13"/>
  <c r="R11" i="13"/>
  <c r="R4" i="13"/>
  <c r="R10" i="13"/>
  <c r="M9" i="13"/>
  <c r="M11" i="13"/>
  <c r="M10" i="13"/>
  <c r="M4" i="13"/>
  <c r="M12" i="13"/>
  <c r="L8" i="13"/>
  <c r="L12" i="13"/>
  <c r="L4" i="13"/>
  <c r="L5" i="13"/>
  <c r="L9" i="13"/>
  <c r="L13" i="13"/>
  <c r="L6" i="13"/>
  <c r="L10" i="13"/>
  <c r="G6" i="13"/>
  <c r="G8" i="13"/>
  <c r="G10" i="13"/>
  <c r="G12" i="13"/>
  <c r="G5" i="13"/>
  <c r="G7" i="13"/>
  <c r="G9" i="13"/>
  <c r="G11" i="13"/>
  <c r="G13" i="13"/>
  <c r="F10" i="13"/>
  <c r="F11" i="13"/>
  <c r="F7" i="13"/>
  <c r="F4" i="13"/>
  <c r="F12" i="13"/>
  <c r="F9" i="13"/>
  <c r="F8" i="13"/>
  <c r="F5" i="13"/>
  <c r="F13" i="13"/>
  <c r="X13" i="12"/>
  <c r="X7" i="12"/>
  <c r="X6" i="12"/>
  <c r="X11" i="12"/>
  <c r="AK7" i="12"/>
  <c r="AK11" i="12"/>
  <c r="AJ5" i="12"/>
  <c r="AJ4" i="12"/>
  <c r="AK3" i="12"/>
  <c r="AJ8" i="12"/>
  <c r="AK12" i="12"/>
  <c r="AK9" i="12"/>
  <c r="AK13" i="12"/>
  <c r="AK6" i="12"/>
  <c r="AE12" i="12"/>
  <c r="AE8" i="12"/>
  <c r="AE10" i="12"/>
  <c r="AD3" i="12"/>
  <c r="AD8" i="12"/>
  <c r="AD12" i="12"/>
  <c r="AD7" i="12"/>
  <c r="AD11" i="12"/>
  <c r="AD5" i="12"/>
  <c r="AD10" i="12"/>
  <c r="AE4" i="12"/>
  <c r="X10" i="12"/>
  <c r="Y5" i="12"/>
  <c r="Y3" i="12"/>
  <c r="Y8" i="12"/>
  <c r="Y12" i="12"/>
  <c r="F9" i="12"/>
  <c r="S7" i="12"/>
  <c r="S9" i="12"/>
  <c r="S11" i="12"/>
  <c r="S13" i="12"/>
  <c r="S6" i="12"/>
  <c r="S8" i="12"/>
  <c r="S10" i="12"/>
  <c r="S12" i="12"/>
  <c r="R10" i="12"/>
  <c r="R4" i="12"/>
  <c r="R8" i="12"/>
  <c r="S3" i="12"/>
  <c r="S5" i="12"/>
  <c r="R7" i="12"/>
  <c r="R9" i="12"/>
  <c r="R11" i="12"/>
  <c r="R13" i="12"/>
  <c r="R12" i="12"/>
  <c r="R6" i="12"/>
  <c r="M3" i="12"/>
  <c r="M5" i="12"/>
  <c r="M7" i="12"/>
  <c r="M9" i="12"/>
  <c r="M11" i="12"/>
  <c r="M13" i="12"/>
  <c r="L4" i="12"/>
  <c r="M6" i="12"/>
  <c r="L8" i="12"/>
  <c r="M10" i="12"/>
  <c r="M12" i="12"/>
  <c r="G4" i="12"/>
  <c r="F6" i="12"/>
  <c r="F8" i="12"/>
  <c r="F10" i="12"/>
  <c r="F12" i="12"/>
  <c r="F3" i="12"/>
  <c r="G7" i="12"/>
  <c r="G9" i="12"/>
  <c r="G11" i="12"/>
  <c r="G13" i="12"/>
  <c r="X3" i="12"/>
  <c r="AJ3" i="12"/>
  <c r="X4" i="12"/>
  <c r="L5" i="12"/>
  <c r="X5" i="12"/>
  <c r="L6" i="12"/>
  <c r="AJ6" i="12"/>
  <c r="L7" i="12"/>
  <c r="AJ7" i="12"/>
  <c r="X8" i="12"/>
  <c r="L9" i="12"/>
  <c r="AJ9" i="12"/>
  <c r="L10" i="12"/>
  <c r="AJ10" i="12"/>
  <c r="L11" i="12"/>
  <c r="AJ11" i="12"/>
  <c r="L12" i="12"/>
  <c r="X12" i="12"/>
  <c r="AJ12" i="12"/>
  <c r="L13" i="12"/>
  <c r="AJ13" i="12"/>
  <c r="M4" i="12"/>
  <c r="AK4" i="12"/>
  <c r="AK5" i="12"/>
  <c r="Y6" i="12"/>
  <c r="Y7" i="12"/>
  <c r="M8" i="12"/>
  <c r="AK8" i="12"/>
  <c r="Y9" i="12"/>
  <c r="Y10" i="12"/>
  <c r="Y11" i="12"/>
  <c r="Y13" i="12"/>
  <c r="R3" i="12"/>
  <c r="F4" i="12"/>
  <c r="AD4" i="12"/>
  <c r="R5" i="12"/>
  <c r="G3" i="12"/>
  <c r="AE3" i="12"/>
  <c r="S4" i="12"/>
  <c r="G5" i="12"/>
  <c r="AE5" i="12"/>
  <c r="AJ9" i="11"/>
  <c r="AK3" i="11"/>
  <c r="AK6" i="11"/>
  <c r="AJ13" i="11"/>
  <c r="AD11" i="11"/>
  <c r="AK13" i="11"/>
  <c r="AK7" i="11"/>
  <c r="AJ11" i="11"/>
  <c r="AJ4" i="11"/>
  <c r="AK10" i="11"/>
  <c r="AK5" i="11"/>
  <c r="AJ8" i="11"/>
  <c r="AK12" i="11"/>
  <c r="AE5" i="11"/>
  <c r="AD4" i="11"/>
  <c r="AE10" i="11"/>
  <c r="AE8" i="11"/>
  <c r="AD12" i="11"/>
  <c r="Y6" i="11"/>
  <c r="Y4" i="11"/>
  <c r="X5" i="11"/>
  <c r="X10" i="11"/>
  <c r="X13" i="11"/>
  <c r="Y8" i="11"/>
  <c r="X12" i="11"/>
  <c r="Y7" i="11"/>
  <c r="S11" i="11"/>
  <c r="S9" i="11"/>
  <c r="L7" i="11"/>
  <c r="L3" i="11"/>
  <c r="F9" i="11"/>
  <c r="F11" i="11"/>
  <c r="G7" i="11"/>
  <c r="R8" i="11"/>
  <c r="R10" i="11"/>
  <c r="R12" i="11"/>
  <c r="R3" i="11"/>
  <c r="R5" i="11"/>
  <c r="R7" i="11"/>
  <c r="L8" i="11"/>
  <c r="M12" i="11"/>
  <c r="M9" i="11"/>
  <c r="L11" i="11"/>
  <c r="L13" i="11"/>
  <c r="M10" i="11"/>
  <c r="F4" i="11"/>
  <c r="F6" i="11"/>
  <c r="F8" i="11"/>
  <c r="G10" i="11"/>
  <c r="G12" i="11"/>
  <c r="X3" i="11"/>
  <c r="AJ3" i="11"/>
  <c r="X4" i="11"/>
  <c r="L5" i="11"/>
  <c r="AJ5" i="11"/>
  <c r="X6" i="11"/>
  <c r="AJ6" i="11"/>
  <c r="AJ7" i="11"/>
  <c r="X8" i="11"/>
  <c r="L9" i="11"/>
  <c r="X9" i="11"/>
  <c r="L10" i="11"/>
  <c r="AJ10" i="11"/>
  <c r="X11" i="11"/>
  <c r="L12" i="11"/>
  <c r="AJ12" i="11"/>
  <c r="M3" i="11"/>
  <c r="M4" i="11"/>
  <c r="AK4" i="11"/>
  <c r="Y5" i="11"/>
  <c r="M6" i="11"/>
  <c r="M7" i="11"/>
  <c r="M8" i="11"/>
  <c r="AK8" i="11"/>
  <c r="AK9" i="11"/>
  <c r="Y10" i="11"/>
  <c r="M11" i="11"/>
  <c r="AK11" i="11"/>
  <c r="Y12" i="11"/>
  <c r="M13" i="11"/>
  <c r="Y13" i="11"/>
  <c r="F3" i="11"/>
  <c r="AD3" i="11"/>
  <c r="R4" i="11"/>
  <c r="F5" i="11"/>
  <c r="AD5" i="11"/>
  <c r="R6" i="11"/>
  <c r="F7" i="11"/>
  <c r="AD7" i="11"/>
  <c r="AD8" i="11"/>
  <c r="R9" i="11"/>
  <c r="F10" i="11"/>
  <c r="AD10" i="11"/>
  <c r="R11" i="11"/>
  <c r="F12" i="11"/>
  <c r="F13" i="11"/>
  <c r="R13" i="11"/>
  <c r="S3" i="11"/>
  <c r="G4" i="11"/>
  <c r="AE4" i="11"/>
  <c r="S5" i="11"/>
  <c r="G6" i="11"/>
  <c r="AE6" i="11"/>
  <c r="S7" i="11"/>
  <c r="G8" i="11"/>
  <c r="S8" i="11"/>
  <c r="G9" i="11"/>
  <c r="AE9" i="11"/>
  <c r="S10" i="11"/>
  <c r="G11" i="11"/>
  <c r="AE11" i="11"/>
  <c r="S12" i="11"/>
  <c r="AE12" i="11"/>
  <c r="AE13" i="11"/>
  <c r="AK9" i="6"/>
  <c r="AK11" i="6"/>
  <c r="AE11" i="6"/>
  <c r="AD10" i="6"/>
  <c r="AD11" i="6"/>
  <c r="AD9" i="6"/>
  <c r="AE3" i="6"/>
  <c r="AD3" i="6"/>
  <c r="Y8" i="6"/>
  <c r="Y10" i="6"/>
  <c r="X8" i="6"/>
  <c r="X5" i="6"/>
  <c r="X10" i="6"/>
  <c r="AJ8" i="6"/>
  <c r="AK12" i="6"/>
  <c r="AK10" i="6"/>
  <c r="AJ4" i="6"/>
  <c r="AJ3" i="6"/>
  <c r="AJ5" i="6"/>
  <c r="AJ7" i="6"/>
  <c r="AJ9" i="6"/>
  <c r="AJ11" i="6"/>
  <c r="AJ13" i="6"/>
  <c r="AJ6" i="6"/>
  <c r="AD12" i="6"/>
  <c r="AE4" i="6"/>
  <c r="AE6" i="6"/>
  <c r="AE8" i="6"/>
  <c r="AE10" i="6"/>
  <c r="Y3" i="6"/>
  <c r="Y5" i="6"/>
  <c r="Y7" i="6"/>
  <c r="Y9" i="6"/>
  <c r="Y11" i="6"/>
  <c r="Y13" i="6"/>
  <c r="S8" i="6"/>
  <c r="R12" i="6"/>
  <c r="R5" i="6"/>
  <c r="S6" i="6"/>
  <c r="R9" i="6"/>
  <c r="S3" i="6"/>
  <c r="S4" i="6"/>
  <c r="L6" i="6"/>
  <c r="L5" i="6"/>
  <c r="M9" i="6"/>
  <c r="G7" i="6"/>
  <c r="F9" i="6"/>
  <c r="F10" i="6"/>
  <c r="G11" i="6"/>
  <c r="G12" i="6"/>
  <c r="G13" i="6"/>
  <c r="G3" i="6"/>
  <c r="L4" i="6" l="1"/>
  <c r="M3" i="6"/>
  <c r="M6" i="6"/>
  <c r="M4" i="6"/>
  <c r="M7" i="6"/>
  <c r="R3" i="6"/>
  <c r="M11" i="6"/>
  <c r="M10" i="6"/>
  <c r="L9" i="6"/>
  <c r="S7" i="6"/>
  <c r="S5" i="6"/>
  <c r="S13" i="6"/>
  <c r="L13" i="6"/>
  <c r="L10" i="6"/>
  <c r="G8" i="6"/>
  <c r="F3" i="6"/>
  <c r="L3" i="6"/>
  <c r="G6" i="6"/>
  <c r="M5" i="6"/>
  <c r="G5" i="6"/>
  <c r="G4" i="6"/>
  <c r="R8" i="6"/>
  <c r="S9" i="6"/>
  <c r="L11" i="6"/>
  <c r="M8" i="6"/>
  <c r="M13" i="6"/>
  <c r="M12" i="6"/>
  <c r="L7" i="6"/>
  <c r="L8" i="6"/>
  <c r="L12" i="6"/>
  <c r="R13" i="6"/>
  <c r="S11" i="6"/>
  <c r="R7" i="6"/>
  <c r="S10" i="6"/>
  <c r="R11" i="6"/>
  <c r="S12" i="6"/>
  <c r="R4" i="6"/>
  <c r="R10" i="6"/>
  <c r="R6" i="6"/>
  <c r="F11" i="6"/>
  <c r="F8" i="6"/>
  <c r="F7" i="6"/>
  <c r="F6" i="6"/>
  <c r="F5" i="6"/>
  <c r="F4" i="6"/>
  <c r="F13" i="6"/>
  <c r="F12" i="6"/>
  <c r="G9" i="6"/>
  <c r="G10" i="6"/>
</calcChain>
</file>

<file path=xl/sharedStrings.xml><?xml version="1.0" encoding="utf-8"?>
<sst xmlns="http://schemas.openxmlformats.org/spreadsheetml/2006/main" count="171" uniqueCount="9">
  <si>
    <t>Time</t>
  </si>
  <si>
    <t>AVE</t>
  </si>
  <si>
    <t>STD</t>
  </si>
  <si>
    <t>AOB</t>
  </si>
  <si>
    <t>AOB_ATU</t>
  </si>
  <si>
    <t>AOB_abio</t>
  </si>
  <si>
    <t>MOB</t>
  </si>
  <si>
    <t>MOB_ACE</t>
  </si>
  <si>
    <t>MOB_abio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</si>
</sst>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0" borderId="0" xfId="0" applyBorder="1"/>
    <xf numFmtId="164" fontId="2" fillId="0" borderId="0" xfId="0" applyNumberFormat="1" applyFont="1" applyFill="1" applyBorder="1" applyAlignment="1" applyProtection="1">
      <alignment horizontal="center" vertical="center"/>
    </xf>
    <xf numFmtId="2" fontId="0" fillId="0" borderId="0" xfId="0" applyNumberFormat="1" applyBorder="1"/>
    <xf numFmtId="0" fontId="0" fillId="0" borderId="0" xfId="0" applyFill="1" applyBorder="1"/>
    <xf numFmtId="164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horizontal="center"/>
    </xf>
    <xf numFmtId="9" fontId="0" fillId="0" borderId="0" xfId="0" applyNumberFormat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0" fillId="8" borderId="0" xfId="0" applyFill="1" applyBorder="1"/>
    <xf numFmtId="2" fontId="0" fillId="0" borderId="0" xfId="0" applyNumberFormat="1" applyFont="1" applyFill="1" applyBorder="1" applyAlignment="1" applyProtection="1">
      <alignment horizontal="center" vertical="center"/>
    </xf>
    <xf numFmtId="2" fontId="0" fillId="0" borderId="0" xfId="0" applyNumberFormat="1" applyFont="1" applyFill="1" applyBorder="1" applyAlignment="1" applyProtection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ill="1"/>
    <xf numFmtId="2" fontId="0" fillId="4" borderId="0" xfId="0" applyNumberForma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5" borderId="0" xfId="0" applyNumberFormat="1" applyFill="1" applyBorder="1" applyAlignment="1">
      <alignment horizontal="center"/>
    </xf>
    <xf numFmtId="2" fontId="0" fillId="6" borderId="0" xfId="0" applyNumberFormat="1" applyFill="1" applyBorder="1" applyAlignment="1">
      <alignment horizontal="center"/>
    </xf>
    <xf numFmtId="2" fontId="0" fillId="7" borderId="0" xfId="0" applyNumberFormat="1" applyFill="1" applyBorder="1" applyAlignment="1">
      <alignment horizontal="center"/>
    </xf>
    <xf numFmtId="2" fontId="3" fillId="4" borderId="0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4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5" borderId="0" xfId="0" applyNumberFormat="1" applyFill="1" applyAlignment="1">
      <alignment horizontal="center"/>
    </xf>
    <xf numFmtId="2" fontId="0" fillId="6" borderId="0" xfId="0" applyNumberFormat="1" applyFill="1" applyAlignment="1">
      <alignment horizontal="center"/>
    </xf>
    <xf numFmtId="2" fontId="0" fillId="7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2" fontId="3" fillId="6" borderId="0" xfId="0" applyNumberFormat="1" applyFont="1" applyFill="1" applyAlignment="1">
      <alignment horizontal="center"/>
    </xf>
    <xf numFmtId="2" fontId="5" fillId="0" borderId="0" xfId="0" applyNumberFormat="1" applyFont="1" applyBorder="1"/>
    <xf numFmtId="2" fontId="0" fillId="0" borderId="0" xfId="0" applyNumberFormat="1"/>
    <xf numFmtId="0" fontId="4" fillId="0" borderId="0" xfId="0" applyFont="1" applyBorder="1"/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/>
    <xf numFmtId="0" fontId="1" fillId="6" borderId="0" xfId="0" applyNumberFormat="1" applyFont="1" applyFill="1" applyBorder="1" applyAlignment="1" applyProtection="1">
      <alignment horizontal="center" vertical="center"/>
    </xf>
    <xf numFmtId="0" fontId="1" fillId="7" borderId="0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4" borderId="0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Border="1" applyAlignment="1" applyProtection="1">
      <alignment horizontal="center" vertical="center"/>
    </xf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5" borderId="0" xfId="0" applyNumberFormat="1" applyFont="1" applyFill="1" applyBorder="1" applyAlignment="1" applyProtection="1">
      <alignment horizontal="center" vertical="center"/>
    </xf>
    <xf numFmtId="0" fontId="1" fillId="6" borderId="3" xfId="0" applyNumberFormat="1" applyFont="1" applyFill="1" applyBorder="1" applyAlignment="1" applyProtection="1">
      <alignment horizontal="center" vertical="center"/>
    </xf>
    <xf numFmtId="0" fontId="1" fillId="6" borderId="2" xfId="0" applyNumberFormat="1" applyFont="1" applyFill="1" applyBorder="1" applyAlignment="1" applyProtection="1">
      <alignment horizontal="center" vertical="center"/>
    </xf>
    <xf numFmtId="0" fontId="1" fillId="6" borderId="1" xfId="0" applyNumberFormat="1" applyFont="1" applyFill="1" applyBorder="1" applyAlignment="1" applyProtection="1">
      <alignment horizontal="center" vertical="center"/>
    </xf>
    <xf numFmtId="0" fontId="1" fillId="7" borderId="3" xfId="0" applyNumberFormat="1" applyFont="1" applyFill="1" applyBorder="1" applyAlignment="1" applyProtection="1">
      <alignment horizontal="center" vertical="center"/>
    </xf>
    <xf numFmtId="0" fontId="1" fillId="7" borderId="2" xfId="0" applyNumberFormat="1" applyFont="1" applyFill="1" applyBorder="1" applyAlignment="1" applyProtection="1">
      <alignment horizontal="center" vertical="center"/>
    </xf>
    <xf numFmtId="0" fontId="1" fillId="7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1" fillId="4" borderId="2" xfId="0" applyNumberFormat="1" applyFont="1" applyFill="1" applyBorder="1" applyAlignment="1" applyProtection="1">
      <alignment horizontal="center" vertical="center"/>
    </xf>
    <xf numFmtId="0" fontId="1" fillId="4" borderId="1" xfId="0" applyNumberFormat="1" applyFont="1" applyFill="1" applyBorder="1" applyAlignment="1" applyProtection="1">
      <alignment horizontal="center" vertical="center"/>
    </xf>
    <xf numFmtId="0" fontId="1" fillId="3" borderId="3" xfId="0" applyNumberFormat="1" applyFont="1" applyFill="1" applyBorder="1" applyAlignment="1" applyProtection="1">
      <alignment horizontal="center" vertical="center"/>
    </xf>
    <xf numFmtId="0" fontId="1" fillId="3" borderId="2" xfId="0" applyNumberFormat="1" applyFont="1" applyFill="1" applyBorder="1" applyAlignment="1" applyProtection="1">
      <alignment horizontal="center" vertical="center"/>
    </xf>
    <xf numFmtId="0" fontId="1" fillId="3" borderId="1" xfId="0" applyNumberFormat="1" applyFont="1" applyFill="1" applyBorder="1" applyAlignment="1" applyProtection="1">
      <alignment horizontal="center" vertical="center"/>
    </xf>
    <xf numFmtId="0" fontId="1" fillId="2" borderId="3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/>
    </xf>
    <xf numFmtId="0" fontId="1" fillId="5" borderId="2" xfId="0" applyNumberFormat="1" applyFont="1" applyFill="1" applyBorder="1" applyAlignment="1" applyProtection="1">
      <alignment horizontal="center" vertical="center"/>
    </xf>
    <xf numFmtId="0" fontId="1" fillId="5" borderId="1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F30AE-9C4E-4A63-8241-CFF14E061F1D}">
  <dimension ref="A1:BN41"/>
  <sheetViews>
    <sheetView tabSelected="1" zoomScale="77" zoomScaleNormal="77" workbookViewId="0">
      <selection activeCell="F43" sqref="F43"/>
    </sheetView>
  </sheetViews>
  <sheetFormatPr defaultRowHeight="14.5" x14ac:dyDescent="0.35"/>
  <cols>
    <col min="1" max="1" width="4.453125" style="9" customWidth="1"/>
    <col min="2" max="21" width="8.7265625" style="9"/>
    <col min="22" max="22" width="9.81640625" style="9" customWidth="1"/>
    <col min="23" max="23" width="9.54296875" style="9" customWidth="1"/>
    <col min="24" max="24" width="11.08984375" style="9" bestFit="1" customWidth="1"/>
    <col min="25" max="25" width="11.08984375" style="9" customWidth="1"/>
    <col min="26" max="16384" width="8.7265625" style="9"/>
  </cols>
  <sheetData>
    <row r="1" spans="1:66" x14ac:dyDescent="0.35">
      <c r="A1" s="51" t="s">
        <v>0</v>
      </c>
      <c r="B1" s="52" t="s">
        <v>3</v>
      </c>
      <c r="C1" s="52"/>
      <c r="D1" s="52"/>
      <c r="E1" s="52"/>
      <c r="F1" s="52"/>
      <c r="G1" s="52"/>
      <c r="H1" s="53" t="s">
        <v>4</v>
      </c>
      <c r="I1" s="53"/>
      <c r="J1" s="53"/>
      <c r="K1" s="53"/>
      <c r="L1" s="53"/>
      <c r="M1" s="53"/>
      <c r="N1" s="54" t="s">
        <v>5</v>
      </c>
      <c r="O1" s="54"/>
      <c r="P1" s="54"/>
      <c r="Q1" s="54"/>
      <c r="R1" s="54"/>
      <c r="S1" s="54"/>
      <c r="T1" s="55" t="s">
        <v>6</v>
      </c>
      <c r="U1" s="55"/>
      <c r="V1" s="55"/>
      <c r="W1" s="55"/>
      <c r="X1" s="55"/>
      <c r="Y1" s="55"/>
      <c r="Z1" s="49" t="s">
        <v>7</v>
      </c>
      <c r="AA1" s="49"/>
      <c r="AB1" s="49"/>
      <c r="AC1" s="49"/>
      <c r="AD1" s="49"/>
      <c r="AE1" s="49"/>
      <c r="AF1" s="50" t="s">
        <v>8</v>
      </c>
      <c r="AG1" s="50"/>
      <c r="AH1" s="50"/>
      <c r="AI1" s="50"/>
      <c r="AJ1" s="50"/>
      <c r="AK1" s="50"/>
    </row>
    <row r="2" spans="1:66" x14ac:dyDescent="0.35">
      <c r="A2" s="51"/>
      <c r="B2" s="14">
        <v>1</v>
      </c>
      <c r="C2" s="14">
        <v>2</v>
      </c>
      <c r="D2" s="15">
        <v>0.01</v>
      </c>
      <c r="E2" s="15">
        <v>0.02</v>
      </c>
      <c r="F2" s="16" t="s">
        <v>1</v>
      </c>
      <c r="G2" s="16" t="s">
        <v>2</v>
      </c>
      <c r="H2" s="14">
        <v>1</v>
      </c>
      <c r="I2" s="14">
        <v>2</v>
      </c>
      <c r="J2" s="15">
        <v>0.01</v>
      </c>
      <c r="K2" s="15">
        <v>0.02</v>
      </c>
      <c r="L2" s="17" t="s">
        <v>1</v>
      </c>
      <c r="M2" s="17" t="s">
        <v>2</v>
      </c>
      <c r="N2" s="14">
        <v>1</v>
      </c>
      <c r="O2" s="14">
        <v>2</v>
      </c>
      <c r="P2" s="15">
        <v>0.01</v>
      </c>
      <c r="Q2" s="15">
        <v>0.02</v>
      </c>
      <c r="R2" s="18" t="s">
        <v>1</v>
      </c>
      <c r="S2" s="18" t="s">
        <v>2</v>
      </c>
      <c r="T2" s="14">
        <v>1</v>
      </c>
      <c r="U2" s="14">
        <v>2</v>
      </c>
      <c r="V2" s="15">
        <v>0.01</v>
      </c>
      <c r="W2" s="15">
        <v>0.02</v>
      </c>
      <c r="X2" s="19" t="s">
        <v>1</v>
      </c>
      <c r="Y2" s="19" t="s">
        <v>2</v>
      </c>
      <c r="Z2" s="14">
        <v>1</v>
      </c>
      <c r="AA2" s="14">
        <v>2</v>
      </c>
      <c r="AB2" s="15">
        <v>0.01</v>
      </c>
      <c r="AC2" s="15">
        <v>0.02</v>
      </c>
      <c r="AD2" s="20" t="s">
        <v>1</v>
      </c>
      <c r="AE2" s="20" t="s">
        <v>2</v>
      </c>
      <c r="AF2" s="14">
        <v>1</v>
      </c>
      <c r="AG2" s="14">
        <v>2</v>
      </c>
      <c r="AH2" s="15">
        <v>0.01</v>
      </c>
      <c r="AI2" s="15">
        <v>0.02</v>
      </c>
      <c r="AJ2" s="21" t="s">
        <v>1</v>
      </c>
      <c r="AK2" s="21" t="s">
        <v>2</v>
      </c>
    </row>
    <row r="3" spans="1:66" x14ac:dyDescent="0.35">
      <c r="A3" s="9">
        <v>0</v>
      </c>
      <c r="B3" s="25">
        <v>438.31174603285109</v>
      </c>
      <c r="C3" s="25">
        <v>416.87920959374935</v>
      </c>
      <c r="D3" s="25">
        <f>(B3/438.31)</f>
        <v>1.0000039835569599</v>
      </c>
      <c r="E3" s="25">
        <f>(C3/416.88)</f>
        <v>0.99999810399575262</v>
      </c>
      <c r="F3" s="28">
        <f>AVERAGE(D3:E3)</f>
        <v>1.0000010437763562</v>
      </c>
      <c r="G3" s="28">
        <f>STDEV(D3:E3)</f>
        <v>4.1574776000363577E-6</v>
      </c>
      <c r="H3" s="25">
        <v>446.03874727411073</v>
      </c>
      <c r="I3" s="25">
        <v>444.48853606187083</v>
      </c>
      <c r="J3" s="25">
        <f>(H3/446.04)</f>
        <v>0.99999719144944554</v>
      </c>
      <c r="K3" s="25">
        <f>(I3/444.49)</f>
        <v>0.9999967064767955</v>
      </c>
      <c r="L3" s="29">
        <f>AVERAGE(J3:K3)</f>
        <v>0.99999694896312052</v>
      </c>
      <c r="M3" s="29">
        <f>STDEV(J3:K3)</f>
        <v>3.4292744953250523E-7</v>
      </c>
      <c r="N3" s="25">
        <v>448.88125214759702</v>
      </c>
      <c r="O3" s="25">
        <v>466.84687925492307</v>
      </c>
      <c r="P3" s="25">
        <f>(N3/448.88)</f>
        <v>1.0000027894929537</v>
      </c>
      <c r="Q3" s="25">
        <f>(O3/466.85)</f>
        <v>0.99999331531524693</v>
      </c>
      <c r="R3" s="30">
        <f>AVERAGE(P3:Q3)</f>
        <v>0.99999805240410033</v>
      </c>
      <c r="S3" s="30">
        <f>STDEV(P3:Q3)</f>
        <v>6.6992553026468386E-6</v>
      </c>
      <c r="T3" s="25">
        <v>390.09161012049105</v>
      </c>
      <c r="U3" s="25">
        <v>404.99132081943316</v>
      </c>
      <c r="V3" s="25">
        <f>(T3/390.09)</f>
        <v>1.0000041275615654</v>
      </c>
      <c r="W3" s="25">
        <f>(U3/404.99)</f>
        <v>1.0000032613630785</v>
      </c>
      <c r="X3" s="31">
        <f>AVERAGE(V3:W3)</f>
        <v>1.0000036944623218</v>
      </c>
      <c r="Y3" s="31">
        <f>STDEV(V3:W3)</f>
        <v>6.1249482396693716E-7</v>
      </c>
      <c r="Z3" s="25">
        <v>425.79217612830786</v>
      </c>
      <c r="AA3" s="25">
        <v>432.87773542645715</v>
      </c>
      <c r="AB3" s="25">
        <f>(Z3/425.79)</f>
        <v>1.0000051108018222</v>
      </c>
      <c r="AC3" s="25">
        <f>(AA3/432.88)</f>
        <v>0.99999476858819336</v>
      </c>
      <c r="AD3" s="32">
        <f>AVERAGE(AB3:AC3)</f>
        <v>0.99999993969500778</v>
      </c>
      <c r="AE3" s="32">
        <f>STDEV(AB3:AC3)</f>
        <v>7.3130493894280028E-6</v>
      </c>
      <c r="AF3" s="25">
        <v>416.52068456547164</v>
      </c>
      <c r="AG3" s="25">
        <v>425.26085710084527</v>
      </c>
      <c r="AH3" s="25">
        <f>(AF3/416.52)</f>
        <v>1.0000016435356565</v>
      </c>
      <c r="AI3" s="25">
        <f>(AG3/425.26)</f>
        <v>1.0000020154748748</v>
      </c>
      <c r="AJ3" s="33">
        <f>AVERAGE(AH3:AI3)</f>
        <v>1.0000018295052655</v>
      </c>
      <c r="AK3" s="33">
        <f>STDEV(AH3:AI3)</f>
        <v>2.6300074345851869E-7</v>
      </c>
    </row>
    <row r="4" spans="1:66" x14ac:dyDescent="0.35">
      <c r="A4" s="9">
        <v>17</v>
      </c>
      <c r="B4" s="25">
        <v>341.87517317264837</v>
      </c>
      <c r="C4" s="25">
        <v>334.6612288732066</v>
      </c>
      <c r="D4" s="25">
        <f t="shared" ref="D4:D15" si="0">(B4/438.31)</f>
        <v>0.77998488095787999</v>
      </c>
      <c r="E4" s="25">
        <f t="shared" ref="E4:E15" si="1">(C4/416.88)</f>
        <v>0.80277592802054931</v>
      </c>
      <c r="F4" s="28">
        <f t="shared" ref="F4:F15" si="2">AVERAGE(D4:E4)</f>
        <v>0.79138040448921465</v>
      </c>
      <c r="G4" s="28">
        <f t="shared" ref="G4:G15" si="3">STDEV(D4:E4)</f>
        <v>1.6115703928355225E-2</v>
      </c>
      <c r="H4" s="25">
        <v>375.08130317283201</v>
      </c>
      <c r="I4" s="25">
        <v>378.51179978057201</v>
      </c>
      <c r="J4" s="25">
        <f t="shared" ref="J4:J15" si="4">(H4/446.04)</f>
        <v>0.8409140506968702</v>
      </c>
      <c r="K4" s="25">
        <f t="shared" ref="K4:K15" si="5">(I4/444.49)</f>
        <v>0.85156426416920961</v>
      </c>
      <c r="L4" s="29">
        <f t="shared" ref="L4:L15" si="6">AVERAGE(J4:K4)</f>
        <v>0.8462391574330399</v>
      </c>
      <c r="M4" s="29">
        <f t="shared" ref="M4:M15" si="7">STDEV(J4:K4)</f>
        <v>7.5308381673755229E-3</v>
      </c>
      <c r="N4" s="25">
        <v>389.75175163977167</v>
      </c>
      <c r="O4" s="25">
        <v>389.70780375530001</v>
      </c>
      <c r="P4" s="25">
        <f t="shared" ref="P4:P15" si="8">(N4/448.88)</f>
        <v>0.86827604624793187</v>
      </c>
      <c r="Q4" s="25">
        <f t="shared" ref="Q4:Q15" si="9">(O4/466.85)</f>
        <v>0.83476020939338114</v>
      </c>
      <c r="R4" s="30">
        <f t="shared" ref="R4" si="10">AVERAGE(P4:Q4)</f>
        <v>0.8515181278206565</v>
      </c>
      <c r="S4" s="30">
        <f t="shared" ref="S4:S15" si="11">STDEV(P4:Q4)</f>
        <v>2.3699275516994828E-2</v>
      </c>
      <c r="T4" s="25">
        <v>347.13567853269575</v>
      </c>
      <c r="U4" s="25">
        <v>348.10800861530242</v>
      </c>
      <c r="V4" s="25">
        <f t="shared" ref="V4:V15" si="12">(T4/390.09)</f>
        <v>0.8898861250806116</v>
      </c>
      <c r="W4" s="25">
        <f t="shared" ref="W4:W15" si="13">(U4/404.99)</f>
        <v>0.85954717058520558</v>
      </c>
      <c r="X4" s="31">
        <f t="shared" ref="X4" si="14">AVERAGE(V4:W4)</f>
        <v>0.87471664783290859</v>
      </c>
      <c r="Y4" s="31">
        <f t="shared" ref="Y4:Y15" si="15">STDEV(V4:W4)</f>
        <v>2.1452880457811688E-2</v>
      </c>
      <c r="Z4" s="25">
        <v>339.92033944114513</v>
      </c>
      <c r="AA4" s="25">
        <v>351.01035004725605</v>
      </c>
      <c r="AB4" s="25">
        <f t="shared" ref="AB4:AB15" si="16">(Z4/425.79)</f>
        <v>0.79832861138388667</v>
      </c>
      <c r="AC4" s="25">
        <f t="shared" ref="AC4:AC15" si="17">(AA4/432.88)</f>
        <v>0.81087218177614129</v>
      </c>
      <c r="AD4" s="32">
        <f t="shared" ref="AD4" si="18">AVERAGE(AB4:AC4)</f>
        <v>0.80460039658001392</v>
      </c>
      <c r="AE4" s="32">
        <f t="shared" ref="AE4:AE15" si="19">STDEV(AB4:AC4)</f>
        <v>8.8696436846540452E-3</v>
      </c>
      <c r="AF4" s="25">
        <v>382.55857925617073</v>
      </c>
      <c r="AG4" s="25">
        <v>370.88000807719658</v>
      </c>
      <c r="AH4" s="25">
        <f t="shared" ref="AH4:AH15" si="20">(AF4/416.52)</f>
        <v>0.91846388950391522</v>
      </c>
      <c r="AI4" s="25">
        <f t="shared" ref="AI4:AI15" si="21">(AG4/425.26)</f>
        <v>0.87212530705261859</v>
      </c>
      <c r="AJ4" s="33">
        <f t="shared" ref="AJ4" si="22">AVERAGE(AH4:AI4)</f>
        <v>0.89529459827826696</v>
      </c>
      <c r="AK4" s="33">
        <f t="shared" ref="AK4:AK15" si="23">STDEV(AH4:AI4)</f>
        <v>3.2766325881883794E-2</v>
      </c>
    </row>
    <row r="5" spans="1:66" x14ac:dyDescent="0.35">
      <c r="A5" s="9">
        <v>41</v>
      </c>
      <c r="B5" s="25">
        <v>315.32623702862799</v>
      </c>
      <c r="C5" s="25">
        <v>322.61888335133102</v>
      </c>
      <c r="D5" s="25">
        <f t="shared" si="0"/>
        <v>0.71941374148120729</v>
      </c>
      <c r="E5" s="25">
        <f t="shared" si="1"/>
        <v>0.77388908882971363</v>
      </c>
      <c r="F5" s="28">
        <f t="shared" si="2"/>
        <v>0.74665141515546041</v>
      </c>
      <c r="G5" s="28">
        <f t="shared" si="3"/>
        <v>3.8519887517621448E-2</v>
      </c>
      <c r="H5" s="25">
        <v>367.36267681801399</v>
      </c>
      <c r="I5" s="25">
        <v>360.72932597296091</v>
      </c>
      <c r="J5" s="25">
        <f t="shared" si="4"/>
        <v>0.82360926557710967</v>
      </c>
      <c r="K5" s="25">
        <f t="shared" si="5"/>
        <v>0.81155779876478862</v>
      </c>
      <c r="L5" s="29">
        <f>AVERAGE(J5:K5)</f>
        <v>0.81758353217094915</v>
      </c>
      <c r="M5" s="29">
        <f t="shared" si="7"/>
        <v>8.521673906236843E-3</v>
      </c>
      <c r="N5" s="25">
        <v>382.07694550918598</v>
      </c>
      <c r="O5" s="25">
        <v>381.067494363636</v>
      </c>
      <c r="P5" s="25">
        <f t="shared" si="8"/>
        <v>0.85117836729011309</v>
      </c>
      <c r="Q5" s="25">
        <f t="shared" si="9"/>
        <v>0.81625253157038868</v>
      </c>
      <c r="R5" s="30">
        <f>AVERAGE(P5:Q5)</f>
        <v>0.83371544943025089</v>
      </c>
      <c r="S5" s="30">
        <f t="shared" si="11"/>
        <v>2.4696295276024471E-2</v>
      </c>
      <c r="T5" s="25">
        <v>269.49325159460648</v>
      </c>
      <c r="U5" s="25">
        <v>278.27783969396836</v>
      </c>
      <c r="V5" s="25">
        <f t="shared" si="12"/>
        <v>0.69084891075035626</v>
      </c>
      <c r="W5" s="25">
        <f t="shared" si="13"/>
        <v>0.68712274301579879</v>
      </c>
      <c r="X5" s="31">
        <f>AVERAGE(V5:W5)</f>
        <v>0.68898582688307752</v>
      </c>
      <c r="Y5" s="31">
        <f t="shared" si="15"/>
        <v>2.6347984729441043E-3</v>
      </c>
      <c r="Z5" s="25">
        <v>339.89564818440101</v>
      </c>
      <c r="AA5" s="25">
        <v>333.66744162358498</v>
      </c>
      <c r="AB5" s="25">
        <f t="shared" si="16"/>
        <v>0.79827062210103805</v>
      </c>
      <c r="AC5" s="25">
        <f t="shared" si="17"/>
        <v>0.77080817229621368</v>
      </c>
      <c r="AD5" s="32">
        <f>AVERAGE(AB5:AC5)</f>
        <v>0.78453939719862587</v>
      </c>
      <c r="AE5" s="32">
        <f t="shared" si="19"/>
        <v>1.9418884484986493E-2</v>
      </c>
      <c r="AF5" s="25">
        <v>363.0976627005013</v>
      </c>
      <c r="AG5" s="25">
        <v>353.52088712914258</v>
      </c>
      <c r="AH5" s="25">
        <f t="shared" si="20"/>
        <v>0.8717412433988796</v>
      </c>
      <c r="AI5" s="25">
        <f t="shared" si="21"/>
        <v>0.83130528883304944</v>
      </c>
      <c r="AJ5" s="33">
        <f>AVERAGE(AH5:AI5)</f>
        <v>0.85152326611596452</v>
      </c>
      <c r="AK5" s="33">
        <f t="shared" si="23"/>
        <v>2.8592537677249643E-2</v>
      </c>
    </row>
    <row r="6" spans="1:66" x14ac:dyDescent="0.35">
      <c r="A6" s="9">
        <v>65</v>
      </c>
      <c r="B6" s="25">
        <v>232.258981328418</v>
      </c>
      <c r="C6" s="25">
        <v>238.700902827665</v>
      </c>
      <c r="D6" s="25">
        <f t="shared" si="0"/>
        <v>0.52989660589176157</v>
      </c>
      <c r="E6" s="25">
        <f t="shared" si="1"/>
        <v>0.57258900121777256</v>
      </c>
      <c r="F6" s="28">
        <f t="shared" si="2"/>
        <v>0.55124280355476707</v>
      </c>
      <c r="G6" s="28">
        <f t="shared" si="3"/>
        <v>3.0188082240119238E-2</v>
      </c>
      <c r="H6" s="25">
        <v>343.27326126993927</v>
      </c>
      <c r="I6" s="25">
        <v>348.29811875099273</v>
      </c>
      <c r="J6" s="25">
        <f t="shared" si="4"/>
        <v>0.76960196679656367</v>
      </c>
      <c r="K6" s="25">
        <f t="shared" si="5"/>
        <v>0.7835904491686938</v>
      </c>
      <c r="L6" s="29">
        <f t="shared" si="6"/>
        <v>0.77659620798262874</v>
      </c>
      <c r="M6" s="29">
        <f t="shared" si="7"/>
        <v>9.8913507438416967E-3</v>
      </c>
      <c r="N6" s="25">
        <v>379.72901462374898</v>
      </c>
      <c r="O6" s="25">
        <v>372.01054282140535</v>
      </c>
      <c r="P6" s="25">
        <f t="shared" si="8"/>
        <v>0.84594772461180934</v>
      </c>
      <c r="Q6" s="25">
        <f t="shared" si="9"/>
        <v>0.79685239974596833</v>
      </c>
      <c r="R6" s="30">
        <f t="shared" ref="R6:R15" si="24">AVERAGE(P6:Q6)</f>
        <v>0.82140006217888883</v>
      </c>
      <c r="S6" s="30">
        <f t="shared" si="11"/>
        <v>3.4715637137192702E-2</v>
      </c>
      <c r="T6" s="25">
        <v>141.23732498315462</v>
      </c>
      <c r="U6" s="25">
        <v>156.10377898218471</v>
      </c>
      <c r="V6" s="25">
        <f t="shared" si="12"/>
        <v>0.36206343403613173</v>
      </c>
      <c r="W6" s="25">
        <f t="shared" si="13"/>
        <v>0.38545094689297194</v>
      </c>
      <c r="X6" s="31">
        <f t="shared" ref="X6:X15" si="25">AVERAGE(V6:W6)</f>
        <v>0.3737571904645518</v>
      </c>
      <c r="Y6" s="31">
        <f t="shared" si="15"/>
        <v>1.6537468936159278E-2</v>
      </c>
      <c r="Z6" s="25">
        <v>298.19856265325802</v>
      </c>
      <c r="AA6" s="25">
        <v>297.28317768318902</v>
      </c>
      <c r="AB6" s="25">
        <f t="shared" si="16"/>
        <v>0.700341864894098</v>
      </c>
      <c r="AC6" s="25">
        <f t="shared" si="17"/>
        <v>0.68675655535757951</v>
      </c>
      <c r="AD6" s="32">
        <f t="shared" ref="AD6:AD15" si="26">AVERAGE(AB6:AC6)</f>
        <v>0.6935492101258387</v>
      </c>
      <c r="AE6" s="32">
        <f t="shared" si="19"/>
        <v>9.6062644977904944E-3</v>
      </c>
      <c r="AF6" s="25">
        <v>344.07741322282772</v>
      </c>
      <c r="AG6" s="25">
        <v>367.65529219178404</v>
      </c>
      <c r="AH6" s="25">
        <f t="shared" si="20"/>
        <v>0.8260765706876686</v>
      </c>
      <c r="AI6" s="25">
        <f t="shared" si="21"/>
        <v>0.86454237923102117</v>
      </c>
      <c r="AJ6" s="33">
        <f t="shared" ref="AJ6:AJ15" si="27">AVERAGE(AH6:AI6)</f>
        <v>0.84530947495934483</v>
      </c>
      <c r="AK6" s="33">
        <f t="shared" si="23"/>
        <v>2.719943406482804E-2</v>
      </c>
    </row>
    <row r="7" spans="1:66" x14ac:dyDescent="0.35">
      <c r="A7" s="9">
        <v>113</v>
      </c>
      <c r="B7" s="25">
        <v>187.52643860705854</v>
      </c>
      <c r="C7" s="25">
        <v>152.60378605003601</v>
      </c>
      <c r="D7" s="25">
        <f t="shared" si="0"/>
        <v>0.42783974494549187</v>
      </c>
      <c r="E7" s="25">
        <f t="shared" si="1"/>
        <v>0.36606166294865672</v>
      </c>
      <c r="F7" s="28">
        <f t="shared" si="2"/>
        <v>0.39695070394707432</v>
      </c>
      <c r="G7" s="28">
        <f t="shared" si="3"/>
        <v>4.3683700708660705E-2</v>
      </c>
      <c r="H7" s="25">
        <v>331.32938368460998</v>
      </c>
      <c r="I7" s="25">
        <v>331.04855259889302</v>
      </c>
      <c r="J7" s="25">
        <f t="shared" si="4"/>
        <v>0.74282437378847177</v>
      </c>
      <c r="K7" s="25">
        <f t="shared" si="5"/>
        <v>0.74478290309994155</v>
      </c>
      <c r="L7" s="29">
        <f t="shared" si="6"/>
        <v>0.74380363844420661</v>
      </c>
      <c r="M7" s="29">
        <f t="shared" si="7"/>
        <v>1.3848893572929019E-3</v>
      </c>
      <c r="N7" s="25">
        <v>367.12757541072739</v>
      </c>
      <c r="O7" s="25">
        <v>369.49052057517002</v>
      </c>
      <c r="P7" s="25">
        <f t="shared" si="8"/>
        <v>0.81787465561113748</v>
      </c>
      <c r="Q7" s="25">
        <f t="shared" si="9"/>
        <v>0.79145447268966473</v>
      </c>
      <c r="R7" s="30">
        <f t="shared" si="24"/>
        <v>0.80466456415040111</v>
      </c>
      <c r="S7" s="30">
        <f t="shared" si="11"/>
        <v>1.8681890503962389E-2</v>
      </c>
      <c r="T7" s="25">
        <v>0</v>
      </c>
      <c r="U7" s="25">
        <v>0</v>
      </c>
      <c r="V7" s="25">
        <f t="shared" si="12"/>
        <v>0</v>
      </c>
      <c r="W7" s="25">
        <f t="shared" si="13"/>
        <v>0</v>
      </c>
      <c r="X7" s="31">
        <f t="shared" si="25"/>
        <v>0</v>
      </c>
      <c r="Y7" s="31">
        <f t="shared" si="15"/>
        <v>0</v>
      </c>
      <c r="Z7" s="25">
        <v>299.87091882608797</v>
      </c>
      <c r="AA7" s="25">
        <v>295.56531844083298</v>
      </c>
      <c r="AB7" s="25">
        <f t="shared" si="16"/>
        <v>0.70426951977756158</v>
      </c>
      <c r="AC7" s="25">
        <f t="shared" si="17"/>
        <v>0.68278811319726707</v>
      </c>
      <c r="AD7" s="32">
        <f t="shared" si="26"/>
        <v>0.69352881648741427</v>
      </c>
      <c r="AE7" s="32">
        <f t="shared" si="19"/>
        <v>1.5189648262351576E-2</v>
      </c>
      <c r="AF7" s="25">
        <v>347.31641088950073</v>
      </c>
      <c r="AG7" s="25">
        <v>364.05399024793269</v>
      </c>
      <c r="AH7" s="25">
        <f t="shared" si="20"/>
        <v>0.83385290235643128</v>
      </c>
      <c r="AI7" s="25">
        <f t="shared" si="21"/>
        <v>0.85607390831005192</v>
      </c>
      <c r="AJ7" s="33">
        <f t="shared" si="27"/>
        <v>0.84496340533324155</v>
      </c>
      <c r="AK7" s="33">
        <f t="shared" si="23"/>
        <v>1.5712623994591803E-2</v>
      </c>
    </row>
    <row r="8" spans="1:66" s="12" customFormat="1" x14ac:dyDescent="0.35">
      <c r="A8" s="12">
        <v>161</v>
      </c>
      <c r="B8" s="26">
        <v>0</v>
      </c>
      <c r="C8" s="26">
        <v>0</v>
      </c>
      <c r="D8" s="25">
        <f t="shared" si="0"/>
        <v>0</v>
      </c>
      <c r="E8" s="25">
        <f t="shared" si="1"/>
        <v>0</v>
      </c>
      <c r="F8" s="34">
        <f t="shared" si="2"/>
        <v>0</v>
      </c>
      <c r="G8" s="34">
        <f t="shared" si="3"/>
        <v>0</v>
      </c>
      <c r="H8" s="26">
        <v>326.856930743693</v>
      </c>
      <c r="I8" s="26">
        <v>326.56671209695799</v>
      </c>
      <c r="J8" s="25">
        <f t="shared" si="4"/>
        <v>0.7327973516807752</v>
      </c>
      <c r="K8" s="25">
        <f t="shared" si="5"/>
        <v>0.73469979548911779</v>
      </c>
      <c r="L8" s="29">
        <f t="shared" si="6"/>
        <v>0.7337485735849465</v>
      </c>
      <c r="M8" s="29">
        <f t="shared" si="7"/>
        <v>1.3452309177054067E-3</v>
      </c>
      <c r="N8" s="26">
        <v>369.04098265012198</v>
      </c>
      <c r="O8" s="26">
        <v>365.651811069215</v>
      </c>
      <c r="P8" s="26">
        <f t="shared" si="8"/>
        <v>0.82213728089939841</v>
      </c>
      <c r="Q8" s="26">
        <f t="shared" si="9"/>
        <v>0.78323189690310591</v>
      </c>
      <c r="R8" s="30">
        <f t="shared" si="24"/>
        <v>0.80268458890125216</v>
      </c>
      <c r="S8" s="30">
        <f t="shared" si="11"/>
        <v>2.7510260848445014E-2</v>
      </c>
      <c r="T8" s="26">
        <v>0</v>
      </c>
      <c r="U8" s="26">
        <v>0</v>
      </c>
      <c r="V8" s="26">
        <f t="shared" si="12"/>
        <v>0</v>
      </c>
      <c r="W8" s="26">
        <f t="shared" si="13"/>
        <v>0</v>
      </c>
      <c r="X8" s="31">
        <f t="shared" si="25"/>
        <v>0</v>
      </c>
      <c r="Y8" s="31">
        <f t="shared" si="15"/>
        <v>0</v>
      </c>
      <c r="Z8" s="26">
        <v>292.17160377790799</v>
      </c>
      <c r="AA8" s="26">
        <v>291.37285434234201</v>
      </c>
      <c r="AB8" s="25">
        <f t="shared" si="16"/>
        <v>0.68618709640411468</v>
      </c>
      <c r="AC8" s="25">
        <f t="shared" si="17"/>
        <v>0.67310306399543063</v>
      </c>
      <c r="AD8" s="32">
        <f t="shared" si="26"/>
        <v>0.67964508019977266</v>
      </c>
      <c r="AE8" s="32">
        <f t="shared" si="19"/>
        <v>9.2518080414450525E-3</v>
      </c>
      <c r="AF8" s="26">
        <v>343.29028083805798</v>
      </c>
      <c r="AG8" s="26">
        <v>359.629362964488</v>
      </c>
      <c r="AH8" s="25">
        <f t="shared" si="20"/>
        <v>0.82418678776063092</v>
      </c>
      <c r="AI8" s="25">
        <f t="shared" si="21"/>
        <v>0.84566938570401162</v>
      </c>
      <c r="AJ8" s="33">
        <f t="shared" si="27"/>
        <v>0.83492808673232122</v>
      </c>
      <c r="AK8" s="33">
        <f t="shared" si="23"/>
        <v>1.5190490683268672E-2</v>
      </c>
    </row>
    <row r="9" spans="1:66" x14ac:dyDescent="0.35">
      <c r="A9" s="12">
        <v>233</v>
      </c>
      <c r="B9" s="26">
        <v>0</v>
      </c>
      <c r="C9" s="26">
        <v>0</v>
      </c>
      <c r="D9" s="25">
        <f t="shared" si="0"/>
        <v>0</v>
      </c>
      <c r="E9" s="25">
        <f t="shared" si="1"/>
        <v>0</v>
      </c>
      <c r="F9" s="34">
        <f t="shared" si="2"/>
        <v>0</v>
      </c>
      <c r="G9" s="34">
        <f t="shared" si="3"/>
        <v>0</v>
      </c>
      <c r="H9" s="25">
        <v>320.62133919464299</v>
      </c>
      <c r="I9" s="25">
        <v>321.16777397662401</v>
      </c>
      <c r="J9" s="25">
        <f t="shared" si="4"/>
        <v>0.71881745851188905</v>
      </c>
      <c r="K9" s="25">
        <f t="shared" si="5"/>
        <v>0.72255342972085757</v>
      </c>
      <c r="L9" s="29">
        <f t="shared" si="6"/>
        <v>0.72068544411637325</v>
      </c>
      <c r="M9" s="29">
        <f t="shared" si="7"/>
        <v>2.6417305761793405E-3</v>
      </c>
      <c r="N9" s="26">
        <v>367.256192543422</v>
      </c>
      <c r="O9" s="26">
        <v>364.73173882928398</v>
      </c>
      <c r="P9" s="26">
        <f t="shared" si="8"/>
        <v>0.81816118460038767</v>
      </c>
      <c r="Q9" s="26">
        <f t="shared" si="9"/>
        <v>0.78126108777826708</v>
      </c>
      <c r="R9" s="30">
        <f t="shared" si="24"/>
        <v>0.79971113618932743</v>
      </c>
      <c r="S9" s="30">
        <f t="shared" si="11"/>
        <v>2.6092308689361639E-2</v>
      </c>
      <c r="T9" s="26">
        <v>0</v>
      </c>
      <c r="U9" s="26">
        <v>0</v>
      </c>
      <c r="V9" s="26">
        <f t="shared" si="12"/>
        <v>0</v>
      </c>
      <c r="W9" s="26">
        <f t="shared" si="13"/>
        <v>0</v>
      </c>
      <c r="X9" s="31">
        <f t="shared" si="25"/>
        <v>0</v>
      </c>
      <c r="Y9" s="31">
        <f t="shared" si="15"/>
        <v>0</v>
      </c>
      <c r="Z9" s="26">
        <v>294.70430499327898</v>
      </c>
      <c r="AA9" s="26">
        <v>294.99325245257899</v>
      </c>
      <c r="AB9" s="26">
        <f t="shared" si="16"/>
        <v>0.6921353366525258</v>
      </c>
      <c r="AC9" s="26">
        <f t="shared" si="17"/>
        <v>0.68146657838795732</v>
      </c>
      <c r="AD9" s="32">
        <f t="shared" si="26"/>
        <v>0.68680095752024162</v>
      </c>
      <c r="AE9" s="32">
        <f t="shared" si="19"/>
        <v>7.5439513157163933E-3</v>
      </c>
      <c r="AF9" s="26">
        <v>345.05929242875601</v>
      </c>
      <c r="AG9" s="26">
        <v>349.65867998399301</v>
      </c>
      <c r="AH9" s="26">
        <f t="shared" si="20"/>
        <v>0.8284339105655335</v>
      </c>
      <c r="AI9" s="26">
        <f t="shared" si="21"/>
        <v>0.82222329865022104</v>
      </c>
      <c r="AJ9" s="33">
        <f t="shared" si="27"/>
        <v>0.82532860460787727</v>
      </c>
      <c r="AK9" s="33">
        <f t="shared" si="23"/>
        <v>4.3915658006354191E-3</v>
      </c>
    </row>
    <row r="10" spans="1:66" x14ac:dyDescent="0.35">
      <c r="A10" s="12">
        <v>305</v>
      </c>
      <c r="B10" s="26">
        <v>0</v>
      </c>
      <c r="C10" s="26">
        <v>0</v>
      </c>
      <c r="D10" s="25">
        <f t="shared" si="0"/>
        <v>0</v>
      </c>
      <c r="E10" s="25">
        <f t="shared" si="1"/>
        <v>0</v>
      </c>
      <c r="F10" s="34">
        <f t="shared" si="2"/>
        <v>0</v>
      </c>
      <c r="G10" s="34">
        <f t="shared" si="3"/>
        <v>0</v>
      </c>
      <c r="H10" s="26">
        <v>309.93256754043</v>
      </c>
      <c r="I10" s="26">
        <v>325.11286588872599</v>
      </c>
      <c r="J10" s="25">
        <f t="shared" si="4"/>
        <v>0.69485375199630073</v>
      </c>
      <c r="K10" s="25">
        <f t="shared" si="5"/>
        <v>0.73142897677951357</v>
      </c>
      <c r="L10" s="29">
        <f t="shared" si="6"/>
        <v>0.71314136438790721</v>
      </c>
      <c r="M10" s="29">
        <f t="shared" si="7"/>
        <v>2.5862589467632077E-2</v>
      </c>
      <c r="N10" s="26">
        <v>365.777016688944</v>
      </c>
      <c r="O10" s="26">
        <v>370.40468601193402</v>
      </c>
      <c r="P10" s="26">
        <f t="shared" si="8"/>
        <v>0.81486592561251114</v>
      </c>
      <c r="Q10" s="26">
        <f t="shared" si="9"/>
        <v>0.79341262934975687</v>
      </c>
      <c r="R10" s="30">
        <f t="shared" si="24"/>
        <v>0.80413927748113401</v>
      </c>
      <c r="S10" s="30">
        <f t="shared" si="11"/>
        <v>1.5169771266197564E-2</v>
      </c>
      <c r="T10" s="26">
        <v>0</v>
      </c>
      <c r="U10" s="26">
        <v>0</v>
      </c>
      <c r="V10" s="26">
        <f t="shared" si="12"/>
        <v>0</v>
      </c>
      <c r="W10" s="26">
        <f t="shared" si="13"/>
        <v>0</v>
      </c>
      <c r="X10" s="31">
        <f t="shared" si="25"/>
        <v>0</v>
      </c>
      <c r="Y10" s="31">
        <f t="shared" si="15"/>
        <v>0</v>
      </c>
      <c r="Z10" s="26">
        <v>287.90244839204701</v>
      </c>
      <c r="AA10" s="26">
        <v>284.32593694698897</v>
      </c>
      <c r="AB10" s="26">
        <f t="shared" si="16"/>
        <v>0.67616066227963778</v>
      </c>
      <c r="AC10" s="26">
        <f t="shared" si="17"/>
        <v>0.65682391643640037</v>
      </c>
      <c r="AD10" s="32">
        <f t="shared" si="26"/>
        <v>0.66649228935801907</v>
      </c>
      <c r="AE10" s="32">
        <f t="shared" si="19"/>
        <v>1.3673144111833959E-2</v>
      </c>
      <c r="AF10" s="26">
        <v>341.61784898682799</v>
      </c>
      <c r="AG10" s="26">
        <v>345.296091548753</v>
      </c>
      <c r="AH10" s="26">
        <f t="shared" si="20"/>
        <v>0.82017153794974551</v>
      </c>
      <c r="AI10" s="26">
        <f t="shared" si="21"/>
        <v>0.81196466055766592</v>
      </c>
      <c r="AJ10" s="33">
        <f t="shared" si="27"/>
        <v>0.81606809925370571</v>
      </c>
      <c r="AK10" s="33">
        <f t="shared" si="23"/>
        <v>5.8031386563060479E-3</v>
      </c>
    </row>
    <row r="11" spans="1:66" s="22" customFormat="1" x14ac:dyDescent="0.35">
      <c r="A11" s="12">
        <v>353</v>
      </c>
      <c r="B11" s="26">
        <v>0</v>
      </c>
      <c r="C11" s="26">
        <v>0</v>
      </c>
      <c r="D11" s="25">
        <f t="shared" si="0"/>
        <v>0</v>
      </c>
      <c r="E11" s="25">
        <f t="shared" si="1"/>
        <v>0</v>
      </c>
      <c r="F11" s="34">
        <f t="shared" si="2"/>
        <v>0</v>
      </c>
      <c r="G11" s="34">
        <f t="shared" si="3"/>
        <v>0</v>
      </c>
      <c r="H11" s="26">
        <v>312.352271908425</v>
      </c>
      <c r="I11" s="26">
        <v>320.513701588</v>
      </c>
      <c r="J11" s="25">
        <f t="shared" si="4"/>
        <v>0.70027861157838978</v>
      </c>
      <c r="K11" s="25">
        <f t="shared" si="5"/>
        <v>0.72108191767643814</v>
      </c>
      <c r="L11" s="29">
        <f t="shared" si="6"/>
        <v>0.71068026462741396</v>
      </c>
      <c r="M11" s="29">
        <f t="shared" si="7"/>
        <v>1.4710158813029457E-2</v>
      </c>
      <c r="N11" s="26">
        <v>363.155986540301</v>
      </c>
      <c r="O11" s="26">
        <v>374.99879577905898</v>
      </c>
      <c r="P11" s="26">
        <f t="shared" si="8"/>
        <v>0.80902688143891688</v>
      </c>
      <c r="Q11" s="26">
        <f t="shared" si="9"/>
        <v>0.80325328430771969</v>
      </c>
      <c r="R11" s="30">
        <f t="shared" si="24"/>
        <v>0.80614008287331829</v>
      </c>
      <c r="S11" s="30">
        <f t="shared" si="11"/>
        <v>4.0825496833087251E-3</v>
      </c>
      <c r="T11" s="26">
        <v>0</v>
      </c>
      <c r="U11" s="26">
        <v>0</v>
      </c>
      <c r="V11" s="26">
        <f t="shared" si="12"/>
        <v>0</v>
      </c>
      <c r="W11" s="26">
        <f t="shared" si="13"/>
        <v>0</v>
      </c>
      <c r="X11" s="31">
        <f t="shared" si="25"/>
        <v>0</v>
      </c>
      <c r="Y11" s="31">
        <f t="shared" si="15"/>
        <v>0</v>
      </c>
      <c r="Z11" s="26">
        <v>279.90213827463703</v>
      </c>
      <c r="AA11" s="26">
        <v>279.9034523345</v>
      </c>
      <c r="AB11" s="26">
        <f t="shared" si="16"/>
        <v>0.65737132923421637</v>
      </c>
      <c r="AC11" s="26">
        <f t="shared" si="17"/>
        <v>0.64660749476644797</v>
      </c>
      <c r="AD11" s="32">
        <f t="shared" si="26"/>
        <v>0.65198941200033222</v>
      </c>
      <c r="AE11" s="32">
        <f t="shared" si="19"/>
        <v>7.6111803437285339E-3</v>
      </c>
      <c r="AF11" s="26">
        <v>340.19601375391898</v>
      </c>
      <c r="AG11" s="26">
        <v>345.99256105313998</v>
      </c>
      <c r="AH11" s="26">
        <f t="shared" si="20"/>
        <v>0.81675793180139966</v>
      </c>
      <c r="AI11" s="26">
        <f t="shared" si="21"/>
        <v>0.81360241041513426</v>
      </c>
      <c r="AJ11" s="33">
        <f t="shared" si="27"/>
        <v>0.8151801711082669</v>
      </c>
      <c r="AK11" s="33">
        <f t="shared" si="23"/>
        <v>2.2312905704074417E-3</v>
      </c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</row>
    <row r="12" spans="1:66" x14ac:dyDescent="0.35">
      <c r="A12" s="12">
        <v>425</v>
      </c>
      <c r="B12" s="26">
        <v>0</v>
      </c>
      <c r="C12" s="26">
        <v>0</v>
      </c>
      <c r="D12" s="25">
        <f t="shared" si="0"/>
        <v>0</v>
      </c>
      <c r="E12" s="25">
        <f t="shared" si="1"/>
        <v>0</v>
      </c>
      <c r="F12" s="34">
        <f t="shared" si="2"/>
        <v>0</v>
      </c>
      <c r="G12" s="34">
        <f t="shared" si="3"/>
        <v>0</v>
      </c>
      <c r="H12" s="26">
        <v>317.06081399079301</v>
      </c>
      <c r="I12" s="26">
        <v>322.401136736865</v>
      </c>
      <c r="J12" s="25">
        <f t="shared" si="4"/>
        <v>0.7108349340659873</v>
      </c>
      <c r="K12" s="25">
        <f t="shared" si="5"/>
        <v>0.72532821151626581</v>
      </c>
      <c r="L12" s="29">
        <f t="shared" si="6"/>
        <v>0.7180815727911265</v>
      </c>
      <c r="M12" s="29">
        <f t="shared" si="7"/>
        <v>1.0248294766710008E-2</v>
      </c>
      <c r="N12" s="26">
        <v>363.10367664664102</v>
      </c>
      <c r="O12" s="26">
        <v>365.82237943030498</v>
      </c>
      <c r="P12" s="26">
        <f t="shared" si="8"/>
        <v>0.80891034718998622</v>
      </c>
      <c r="Q12" s="26">
        <f t="shared" si="9"/>
        <v>0.7835972569996893</v>
      </c>
      <c r="R12" s="30">
        <f t="shared" si="24"/>
        <v>0.79625380209483776</v>
      </c>
      <c r="S12" s="30">
        <f t="shared" si="11"/>
        <v>1.7899057726345632E-2</v>
      </c>
      <c r="T12" s="26">
        <v>0</v>
      </c>
      <c r="U12" s="26">
        <v>0</v>
      </c>
      <c r="V12" s="26">
        <f t="shared" si="12"/>
        <v>0</v>
      </c>
      <c r="W12" s="26">
        <f t="shared" si="13"/>
        <v>0</v>
      </c>
      <c r="X12" s="31">
        <f t="shared" si="25"/>
        <v>0</v>
      </c>
      <c r="Y12" s="31">
        <f t="shared" si="15"/>
        <v>0</v>
      </c>
      <c r="Z12" s="26">
        <v>271.01264356419301</v>
      </c>
      <c r="AA12" s="26">
        <v>278.90375872847</v>
      </c>
      <c r="AB12" s="26">
        <f t="shared" si="16"/>
        <v>0.63649367895956455</v>
      </c>
      <c r="AC12" s="26">
        <f t="shared" si="17"/>
        <v>0.64429809353278045</v>
      </c>
      <c r="AD12" s="32">
        <f t="shared" si="26"/>
        <v>0.6403958862461725</v>
      </c>
      <c r="AE12" s="32">
        <f t="shared" si="19"/>
        <v>5.518554467912079E-3</v>
      </c>
      <c r="AF12" s="26">
        <v>337.95824570718099</v>
      </c>
      <c r="AG12" s="26">
        <v>349.34172570040101</v>
      </c>
      <c r="AH12" s="26">
        <f t="shared" si="20"/>
        <v>0.81138539735710413</v>
      </c>
      <c r="AI12" s="26">
        <f t="shared" si="21"/>
        <v>0.82147797982505055</v>
      </c>
      <c r="AJ12" s="33">
        <f t="shared" si="27"/>
        <v>0.8164316885910774</v>
      </c>
      <c r="AK12" s="33">
        <f t="shared" si="23"/>
        <v>7.1365335027693752E-3</v>
      </c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</row>
    <row r="13" spans="1:66" s="22" customFormat="1" x14ac:dyDescent="0.35">
      <c r="A13" s="12">
        <v>497</v>
      </c>
      <c r="B13" s="26">
        <v>0</v>
      </c>
      <c r="C13" s="26">
        <v>0</v>
      </c>
      <c r="D13" s="25">
        <f t="shared" si="0"/>
        <v>0</v>
      </c>
      <c r="E13" s="25">
        <f t="shared" si="1"/>
        <v>0</v>
      </c>
      <c r="F13" s="34">
        <f t="shared" si="2"/>
        <v>0</v>
      </c>
      <c r="G13" s="34">
        <f t="shared" si="3"/>
        <v>0</v>
      </c>
      <c r="H13" s="26">
        <v>311.38075638640203</v>
      </c>
      <c r="I13" s="26">
        <v>320.37173440380002</v>
      </c>
      <c r="J13" s="25">
        <f t="shared" si="4"/>
        <v>0.69810052099901809</v>
      </c>
      <c r="K13" s="25">
        <f t="shared" si="5"/>
        <v>0.72076252424981446</v>
      </c>
      <c r="L13" s="29">
        <f t="shared" si="6"/>
        <v>0.70943152262441633</v>
      </c>
      <c r="M13" s="29">
        <f t="shared" si="7"/>
        <v>1.6024456173909699E-2</v>
      </c>
      <c r="N13" s="26">
        <v>361.37285415227302</v>
      </c>
      <c r="O13" s="26">
        <v>364.32593694698897</v>
      </c>
      <c r="P13" s="26">
        <f t="shared" si="8"/>
        <v>0.80505447815067066</v>
      </c>
      <c r="Q13" s="26">
        <f t="shared" si="9"/>
        <v>0.78039185380098308</v>
      </c>
      <c r="R13" s="30">
        <f t="shared" si="24"/>
        <v>0.79272316597582693</v>
      </c>
      <c r="S13" s="30">
        <f t="shared" si="11"/>
        <v>1.7439108919520555E-2</v>
      </c>
      <c r="T13" s="26">
        <v>0</v>
      </c>
      <c r="U13" s="26">
        <v>0</v>
      </c>
      <c r="V13" s="26">
        <f t="shared" si="12"/>
        <v>0</v>
      </c>
      <c r="W13" s="26">
        <f t="shared" si="13"/>
        <v>0</v>
      </c>
      <c r="X13" s="31">
        <f t="shared" si="25"/>
        <v>0</v>
      </c>
      <c r="Y13" s="31">
        <f t="shared" si="15"/>
        <v>0</v>
      </c>
      <c r="Z13" s="26">
        <v>269.09051894277502</v>
      </c>
      <c r="AA13" s="26">
        <v>271.09998237462003</v>
      </c>
      <c r="AB13" s="26">
        <f t="shared" si="16"/>
        <v>0.63197942399486839</v>
      </c>
      <c r="AC13" s="26">
        <f t="shared" si="17"/>
        <v>0.626270519253881</v>
      </c>
      <c r="AD13" s="32">
        <f t="shared" si="26"/>
        <v>0.62912497162437475</v>
      </c>
      <c r="AE13" s="32">
        <f t="shared" si="19"/>
        <v>4.0368052555002192E-3</v>
      </c>
      <c r="AF13" s="26">
        <v>335.88992551434097</v>
      </c>
      <c r="AG13" s="26">
        <v>334.96635590904901</v>
      </c>
      <c r="AH13" s="26">
        <f t="shared" si="20"/>
        <v>0.80641968096211702</v>
      </c>
      <c r="AI13" s="26">
        <f t="shared" si="21"/>
        <v>0.78767426023855769</v>
      </c>
      <c r="AJ13" s="33">
        <f t="shared" si="27"/>
        <v>0.79704697060033736</v>
      </c>
      <c r="AK13" s="33">
        <f t="shared" si="23"/>
        <v>1.3255014109823644E-2</v>
      </c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</row>
    <row r="14" spans="1:66" x14ac:dyDescent="0.35">
      <c r="A14" s="12">
        <v>593</v>
      </c>
      <c r="B14" s="26">
        <v>0</v>
      </c>
      <c r="C14" s="26">
        <v>0</v>
      </c>
      <c r="D14" s="25">
        <f t="shared" si="0"/>
        <v>0</v>
      </c>
      <c r="E14" s="25">
        <f t="shared" si="1"/>
        <v>0</v>
      </c>
      <c r="F14" s="34">
        <f t="shared" si="2"/>
        <v>0</v>
      </c>
      <c r="G14" s="34">
        <f t="shared" si="3"/>
        <v>0</v>
      </c>
      <c r="H14" s="24">
        <v>312.01210020823981</v>
      </c>
      <c r="I14" s="24">
        <v>312.14250406037826</v>
      </c>
      <c r="J14" s="25">
        <f t="shared" si="4"/>
        <v>0.69951596316079234</v>
      </c>
      <c r="K14" s="25">
        <f t="shared" si="5"/>
        <v>0.70224865364885203</v>
      </c>
      <c r="L14" s="29">
        <f t="shared" si="6"/>
        <v>0.70088230840482213</v>
      </c>
      <c r="M14" s="29">
        <f t="shared" si="7"/>
        <v>1.9323039749909801E-3</v>
      </c>
      <c r="N14" s="23">
        <v>357.65921426577103</v>
      </c>
      <c r="O14" s="23">
        <v>360.30024506955499</v>
      </c>
      <c r="P14" s="26">
        <f t="shared" si="8"/>
        <v>0.79678135418323615</v>
      </c>
      <c r="Q14" s="26">
        <f t="shared" si="9"/>
        <v>0.77176875885092633</v>
      </c>
      <c r="R14" s="30">
        <f t="shared" si="24"/>
        <v>0.78427505651708129</v>
      </c>
      <c r="S14" s="30">
        <f t="shared" si="11"/>
        <v>1.7686575774551259E-2</v>
      </c>
      <c r="T14" s="26">
        <v>0</v>
      </c>
      <c r="U14" s="26">
        <v>0</v>
      </c>
      <c r="V14" s="26">
        <f t="shared" si="12"/>
        <v>0</v>
      </c>
      <c r="W14" s="26">
        <f t="shared" si="13"/>
        <v>0</v>
      </c>
      <c r="X14" s="31">
        <f t="shared" si="25"/>
        <v>0</v>
      </c>
      <c r="Y14" s="31">
        <f t="shared" si="15"/>
        <v>0</v>
      </c>
      <c r="Z14" s="26">
        <v>269.89997601202901</v>
      </c>
      <c r="AA14" s="26">
        <v>274.20947542145302</v>
      </c>
      <c r="AB14" s="26">
        <f t="shared" si="16"/>
        <v>0.63388049510798516</v>
      </c>
      <c r="AC14" s="26">
        <f t="shared" si="17"/>
        <v>0.63345378724231427</v>
      </c>
      <c r="AD14" s="32">
        <f t="shared" si="26"/>
        <v>0.63366714117514977</v>
      </c>
      <c r="AE14" s="32">
        <f t="shared" si="19"/>
        <v>3.0172802540152785E-4</v>
      </c>
      <c r="AF14" s="23">
        <v>336.68937921990801</v>
      </c>
      <c r="AG14" s="23">
        <v>337.90601848170598</v>
      </c>
      <c r="AH14" s="26">
        <f t="shared" si="20"/>
        <v>0.80833904547178537</v>
      </c>
      <c r="AI14" s="26">
        <f t="shared" si="21"/>
        <v>0.79458688445117343</v>
      </c>
      <c r="AJ14" s="33">
        <f t="shared" si="27"/>
        <v>0.8014629649614794</v>
      </c>
      <c r="AK14" s="33">
        <f t="shared" si="23"/>
        <v>9.7242463136440159E-3</v>
      </c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</row>
    <row r="15" spans="1:66" x14ac:dyDescent="0.35">
      <c r="A15" s="12">
        <v>737</v>
      </c>
      <c r="B15" s="26">
        <v>0</v>
      </c>
      <c r="C15" s="26">
        <v>0</v>
      </c>
      <c r="D15" s="25">
        <f t="shared" si="0"/>
        <v>0</v>
      </c>
      <c r="E15" s="25">
        <f t="shared" si="1"/>
        <v>0</v>
      </c>
      <c r="F15" s="34">
        <f t="shared" si="2"/>
        <v>0</v>
      </c>
      <c r="G15" s="34">
        <f t="shared" si="3"/>
        <v>0</v>
      </c>
      <c r="H15" s="26">
        <v>305.91517357811898</v>
      </c>
      <c r="I15" s="26">
        <v>313.27326126993898</v>
      </c>
      <c r="J15" s="25">
        <f t="shared" si="4"/>
        <v>0.68584695000026674</v>
      </c>
      <c r="K15" s="25">
        <f t="shared" si="5"/>
        <v>0.70479259661620952</v>
      </c>
      <c r="L15" s="29">
        <f t="shared" si="6"/>
        <v>0.69531977330823813</v>
      </c>
      <c r="M15" s="29">
        <f t="shared" si="7"/>
        <v>1.3396595196097106E-2</v>
      </c>
      <c r="N15" s="26">
        <v>346.847043243126</v>
      </c>
      <c r="O15" s="26">
        <v>357.52416630833699</v>
      </c>
      <c r="P15" s="26">
        <f t="shared" si="8"/>
        <v>0.77269435760810457</v>
      </c>
      <c r="Q15" s="26">
        <f t="shared" si="9"/>
        <v>0.76582235473564741</v>
      </c>
      <c r="R15" s="30">
        <f t="shared" si="24"/>
        <v>0.76925835617187599</v>
      </c>
      <c r="S15" s="30">
        <f t="shared" si="11"/>
        <v>4.8592398314478841E-3</v>
      </c>
      <c r="T15" s="26">
        <v>0</v>
      </c>
      <c r="U15" s="26">
        <v>0</v>
      </c>
      <c r="V15" s="26">
        <f t="shared" si="12"/>
        <v>0</v>
      </c>
      <c r="W15" s="26">
        <f t="shared" si="13"/>
        <v>0</v>
      </c>
      <c r="X15" s="31">
        <f t="shared" si="25"/>
        <v>0</v>
      </c>
      <c r="Y15" s="31">
        <f t="shared" si="15"/>
        <v>0</v>
      </c>
      <c r="Z15" s="26">
        <v>266.91392824681299</v>
      </c>
      <c r="AA15" s="26">
        <v>270.890858413324</v>
      </c>
      <c r="AB15" s="26">
        <f t="shared" si="16"/>
        <v>0.62686753621929348</v>
      </c>
      <c r="AC15" s="26">
        <f t="shared" si="17"/>
        <v>0.62578742010100719</v>
      </c>
      <c r="AD15" s="32">
        <f t="shared" si="26"/>
        <v>0.62632747816015033</v>
      </c>
      <c r="AE15" s="32">
        <f t="shared" si="19"/>
        <v>7.6375743170912645E-4</v>
      </c>
      <c r="AF15" s="23">
        <v>338.17820053819997</v>
      </c>
      <c r="AG15" s="23">
        <v>338.94220694069998</v>
      </c>
      <c r="AH15" s="26">
        <f t="shared" si="20"/>
        <v>0.81191347483482179</v>
      </c>
      <c r="AI15" s="26">
        <f t="shared" si="21"/>
        <v>0.79702348431712355</v>
      </c>
      <c r="AJ15" s="33">
        <f t="shared" si="27"/>
        <v>0.80446847957597267</v>
      </c>
      <c r="AK15" s="33">
        <f t="shared" si="23"/>
        <v>1.0528813266867816E-2</v>
      </c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</row>
    <row r="16" spans="1:66" x14ac:dyDescent="0.35">
      <c r="A16" s="12"/>
      <c r="B16" s="12"/>
      <c r="C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</row>
    <row r="17" spans="2:66" x14ac:dyDescent="0.35"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</row>
    <row r="18" spans="2:66" x14ac:dyDescent="0.35">
      <c r="N18" s="11"/>
      <c r="O18" s="11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</row>
    <row r="19" spans="2:66" x14ac:dyDescent="0.35">
      <c r="W19" s="10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</row>
    <row r="20" spans="2:66" x14ac:dyDescent="0.35">
      <c r="B20" s="25"/>
      <c r="C20" s="25"/>
      <c r="D20" s="44"/>
      <c r="N20" s="11"/>
      <c r="O20" s="11"/>
      <c r="T20" s="25"/>
      <c r="U20" s="25"/>
      <c r="W20" s="10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</row>
    <row r="21" spans="2:66" x14ac:dyDescent="0.35">
      <c r="B21" s="25"/>
      <c r="C21" s="25"/>
      <c r="D21" s="44"/>
      <c r="T21" s="25"/>
      <c r="U21" s="25"/>
      <c r="W21" s="10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</row>
    <row r="22" spans="2:66" x14ac:dyDescent="0.35">
      <c r="B22" s="25"/>
      <c r="C22" s="25"/>
      <c r="D22" s="44"/>
      <c r="T22" s="25"/>
      <c r="U22" s="25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</row>
    <row r="23" spans="2:66" x14ac:dyDescent="0.35">
      <c r="B23" s="25"/>
      <c r="C23" s="25"/>
      <c r="D23" s="44"/>
      <c r="T23" s="25"/>
      <c r="U23" s="25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</row>
    <row r="24" spans="2:66" x14ac:dyDescent="0.35">
      <c r="B24" s="25"/>
      <c r="C24" s="25"/>
      <c r="D24" s="44"/>
      <c r="T24" s="25"/>
      <c r="U24" s="25"/>
      <c r="W24" s="10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</row>
    <row r="25" spans="2:66" x14ac:dyDescent="0.35">
      <c r="B25" s="26"/>
      <c r="C25" s="26"/>
      <c r="D25" s="44"/>
      <c r="T25" s="26"/>
      <c r="U25" s="26"/>
      <c r="W25" s="10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</row>
    <row r="26" spans="2:66" x14ac:dyDescent="0.35">
      <c r="B26" s="26"/>
      <c r="C26" s="26"/>
      <c r="D26" s="44"/>
      <c r="T26" s="26"/>
      <c r="U26" s="26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</row>
    <row r="27" spans="2:66" x14ac:dyDescent="0.35">
      <c r="B27" s="26"/>
      <c r="C27" s="26"/>
      <c r="D27" s="44"/>
      <c r="T27" s="26"/>
      <c r="U27" s="26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</row>
    <row r="28" spans="2:66" x14ac:dyDescent="0.35">
      <c r="B28" s="26"/>
      <c r="C28" s="26"/>
      <c r="D28" s="44"/>
      <c r="T28" s="26"/>
      <c r="U28" s="26"/>
      <c r="W28" s="10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</row>
    <row r="29" spans="2:66" x14ac:dyDescent="0.35">
      <c r="B29" s="26"/>
      <c r="C29" s="26"/>
      <c r="D29" s="44"/>
      <c r="T29" s="26"/>
      <c r="U29" s="26"/>
      <c r="W29" s="10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</row>
    <row r="30" spans="2:66" x14ac:dyDescent="0.35">
      <c r="B30" s="26"/>
      <c r="C30" s="26"/>
      <c r="D30" s="44"/>
      <c r="T30" s="26"/>
      <c r="U30" s="26"/>
      <c r="W30" s="10"/>
    </row>
    <row r="31" spans="2:66" x14ac:dyDescent="0.35">
      <c r="B31" s="26"/>
      <c r="C31" s="26"/>
      <c r="D31" s="44"/>
      <c r="T31" s="26"/>
      <c r="U31" s="26"/>
      <c r="W31" s="10"/>
    </row>
    <row r="32" spans="2:66" x14ac:dyDescent="0.35">
      <c r="B32" s="26"/>
      <c r="C32" s="26"/>
      <c r="D32" s="44"/>
      <c r="T32" s="26"/>
      <c r="U32" s="26"/>
      <c r="W32" s="10"/>
    </row>
    <row r="33" spans="23:23" x14ac:dyDescent="0.35">
      <c r="W33" s="10"/>
    </row>
    <row r="34" spans="23:23" x14ac:dyDescent="0.35">
      <c r="W34" s="10"/>
    </row>
    <row r="35" spans="23:23" x14ac:dyDescent="0.35">
      <c r="W35" s="10"/>
    </row>
    <row r="36" spans="23:23" x14ac:dyDescent="0.35">
      <c r="W36" s="10"/>
    </row>
    <row r="37" spans="23:23" x14ac:dyDescent="0.35">
      <c r="W37" s="10"/>
    </row>
    <row r="38" spans="23:23" x14ac:dyDescent="0.35">
      <c r="W38" s="10"/>
    </row>
    <row r="39" spans="23:23" x14ac:dyDescent="0.35">
      <c r="W39" s="10"/>
    </row>
    <row r="40" spans="23:23" x14ac:dyDescent="0.35">
      <c r="W40" s="10"/>
    </row>
    <row r="41" spans="23:23" x14ac:dyDescent="0.35">
      <c r="W41" s="10"/>
    </row>
  </sheetData>
  <mergeCells count="7">
    <mergeCell ref="Z1:AE1"/>
    <mergeCell ref="AF1:AK1"/>
    <mergeCell ref="A1:A2"/>
    <mergeCell ref="B1:G1"/>
    <mergeCell ref="H1:M1"/>
    <mergeCell ref="N1:S1"/>
    <mergeCell ref="T1:Y1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4FA1E-F011-4630-91D2-4E7472693FB2}">
  <dimension ref="A1:AK162"/>
  <sheetViews>
    <sheetView zoomScale="89" zoomScaleNormal="89" workbookViewId="0">
      <selection activeCell="G24" sqref="G24"/>
    </sheetView>
  </sheetViews>
  <sheetFormatPr defaultRowHeight="14.5" x14ac:dyDescent="0.35"/>
  <cols>
    <col min="1" max="1" width="4.453125" customWidth="1"/>
    <col min="22" max="22" width="9.81640625" customWidth="1"/>
    <col min="23" max="23" width="9.54296875" customWidth="1"/>
    <col min="24" max="24" width="11.08984375" bestFit="1" customWidth="1"/>
    <col min="25" max="25" width="11.08984375" customWidth="1"/>
  </cols>
  <sheetData>
    <row r="1" spans="1:37" x14ac:dyDescent="0.35">
      <c r="A1" s="51" t="s">
        <v>0</v>
      </c>
      <c r="B1" s="52" t="s">
        <v>3</v>
      </c>
      <c r="C1" s="52"/>
      <c r="D1" s="52"/>
      <c r="E1" s="52"/>
      <c r="F1" s="52"/>
      <c r="G1" s="52"/>
      <c r="H1" s="53" t="s">
        <v>4</v>
      </c>
      <c r="I1" s="53"/>
      <c r="J1" s="53"/>
      <c r="K1" s="53"/>
      <c r="L1" s="53"/>
      <c r="M1" s="53"/>
      <c r="N1" s="54" t="s">
        <v>5</v>
      </c>
      <c r="O1" s="54"/>
      <c r="P1" s="54"/>
      <c r="Q1" s="54"/>
      <c r="R1" s="54"/>
      <c r="S1" s="54"/>
      <c r="T1" s="55" t="s">
        <v>6</v>
      </c>
      <c r="U1" s="55"/>
      <c r="V1" s="55"/>
      <c r="W1" s="55"/>
      <c r="X1" s="55"/>
      <c r="Y1" s="55"/>
      <c r="Z1" s="49" t="s">
        <v>7</v>
      </c>
      <c r="AA1" s="49"/>
      <c r="AB1" s="49"/>
      <c r="AC1" s="49"/>
      <c r="AD1" s="49"/>
      <c r="AE1" s="49"/>
      <c r="AF1" s="50" t="s">
        <v>8</v>
      </c>
      <c r="AG1" s="50"/>
      <c r="AH1" s="50"/>
      <c r="AI1" s="50"/>
      <c r="AJ1" s="50"/>
      <c r="AK1" s="50"/>
    </row>
    <row r="2" spans="1:37" x14ac:dyDescent="0.35">
      <c r="A2" s="51"/>
      <c r="B2" s="14">
        <v>1</v>
      </c>
      <c r="C2" s="14">
        <v>2</v>
      </c>
      <c r="D2" s="15">
        <v>0.01</v>
      </c>
      <c r="E2" s="15">
        <v>0.02</v>
      </c>
      <c r="F2" s="16" t="s">
        <v>1</v>
      </c>
      <c r="G2" s="16" t="s">
        <v>2</v>
      </c>
      <c r="H2" s="14">
        <v>1</v>
      </c>
      <c r="I2" s="14">
        <v>2</v>
      </c>
      <c r="J2" s="15">
        <v>0.01</v>
      </c>
      <c r="K2" s="15">
        <v>0.02</v>
      </c>
      <c r="L2" s="17" t="s">
        <v>1</v>
      </c>
      <c r="M2" s="17" t="s">
        <v>2</v>
      </c>
      <c r="N2" s="14">
        <v>1</v>
      </c>
      <c r="O2" s="14">
        <v>2</v>
      </c>
      <c r="P2" s="15">
        <v>0.01</v>
      </c>
      <c r="Q2" s="15">
        <v>0.02</v>
      </c>
      <c r="R2" s="18" t="s">
        <v>1</v>
      </c>
      <c r="S2" s="18" t="s">
        <v>2</v>
      </c>
      <c r="T2" s="14">
        <v>1</v>
      </c>
      <c r="U2" s="14">
        <v>2</v>
      </c>
      <c r="V2" s="15">
        <v>0.01</v>
      </c>
      <c r="W2" s="15">
        <v>0.02</v>
      </c>
      <c r="X2" s="19" t="s">
        <v>1</v>
      </c>
      <c r="Y2" s="19" t="s">
        <v>2</v>
      </c>
      <c r="Z2" s="14">
        <v>1</v>
      </c>
      <c r="AA2" s="14">
        <v>2</v>
      </c>
      <c r="AB2" s="15">
        <v>0.01</v>
      </c>
      <c r="AC2" s="15">
        <v>0.02</v>
      </c>
      <c r="AD2" s="20" t="s">
        <v>1</v>
      </c>
      <c r="AE2" s="20" t="s">
        <v>2</v>
      </c>
      <c r="AF2" s="14">
        <v>1</v>
      </c>
      <c r="AG2" s="14">
        <v>2</v>
      </c>
      <c r="AH2" s="15">
        <v>0.01</v>
      </c>
      <c r="AI2" s="15">
        <v>0.02</v>
      </c>
      <c r="AJ2" s="21" t="s">
        <v>1</v>
      </c>
      <c r="AK2" s="21" t="s">
        <v>2</v>
      </c>
    </row>
    <row r="3" spans="1:37" x14ac:dyDescent="0.35">
      <c r="A3" s="9">
        <v>0</v>
      </c>
      <c r="B3" s="25">
        <v>390.27650087773117</v>
      </c>
      <c r="C3" s="25">
        <v>374.97794873608001</v>
      </c>
      <c r="D3" s="25">
        <f>(B3/390.28)</f>
        <v>0.99999103432851077</v>
      </c>
      <c r="E3" s="25">
        <f>(C3/374.98)</f>
        <v>0.99999452967112912</v>
      </c>
      <c r="F3" s="28">
        <f>AVERAGE(D3:E3)</f>
        <v>0.99999278199982</v>
      </c>
      <c r="G3" s="28">
        <f>STDEV(D3:E3)</f>
        <v>2.4715804680004033E-6</v>
      </c>
      <c r="H3" s="25">
        <v>375.70700905513644</v>
      </c>
      <c r="I3" s="25">
        <v>361.71750470635516</v>
      </c>
      <c r="J3" s="25">
        <f>(H3/375.71)</f>
        <v>0.9999920392194418</v>
      </c>
      <c r="K3" s="25">
        <f>(I3/361.72)</f>
        <v>0.9999931015878446</v>
      </c>
      <c r="L3" s="29">
        <f>AVERAGE(J3:K3)</f>
        <v>0.9999925704036432</v>
      </c>
      <c r="M3" s="29">
        <f>STDEV(J3:K3)</f>
        <v>7.512079017412996E-7</v>
      </c>
      <c r="N3" s="25">
        <v>366.29411814028902</v>
      </c>
      <c r="O3" s="25">
        <v>376.16327247542301</v>
      </c>
      <c r="P3" s="25">
        <f>(N3/366.29)</f>
        <v>1.0000112428411614</v>
      </c>
      <c r="Q3" s="25">
        <f>(O3/376.16)</f>
        <v>1.0000086996900865</v>
      </c>
      <c r="R3" s="30">
        <f>AVERAGE(P3:Q3)</f>
        <v>1.0000099712656239</v>
      </c>
      <c r="S3" s="30">
        <f>STDEV(P3:Q3)</f>
        <v>1.7982793706018018E-6</v>
      </c>
      <c r="T3" s="25">
        <v>393.13139991926113</v>
      </c>
      <c r="U3" s="25">
        <v>393.67369738322992</v>
      </c>
      <c r="V3" s="25">
        <f>(T3/393.13)</f>
        <v>1.0000035609575997</v>
      </c>
      <c r="W3" s="25">
        <f>(U3/393.67)</f>
        <v>1.0000093920878652</v>
      </c>
      <c r="X3" s="31">
        <f>AVERAGE(V3:W3)</f>
        <v>1.0000064765227323</v>
      </c>
      <c r="Y3" s="31">
        <f>STDEV(V3:W3)</f>
        <v>4.1232317527399889E-6</v>
      </c>
      <c r="Z3" s="25">
        <v>404.18027149266345</v>
      </c>
      <c r="AA3" s="25">
        <v>375.86667314127493</v>
      </c>
      <c r="AB3" s="25">
        <f>(Z3/404.18)</f>
        <v>1.0000006717122654</v>
      </c>
      <c r="AC3" s="25">
        <f>(AA3/375.87)</f>
        <v>0.99999114891125906</v>
      </c>
      <c r="AD3" s="32">
        <f>AVERAGE(AB3:AC3)</f>
        <v>0.99999591031176216</v>
      </c>
      <c r="AE3" s="32">
        <f>STDEV(AB3:AC3)</f>
        <v>6.7336371674454267E-6</v>
      </c>
      <c r="AF3" s="25">
        <v>391.29781126628001</v>
      </c>
      <c r="AG3" s="25">
        <v>365.44669078852053</v>
      </c>
      <c r="AH3" s="25">
        <f>(AF3/391.3)</f>
        <v>0.99999440650723226</v>
      </c>
      <c r="AI3" s="25">
        <f>(AG3/365.45)</f>
        <v>0.99999094483108641</v>
      </c>
      <c r="AJ3" s="33">
        <f>AVERAGE(AH3:AI3)</f>
        <v>0.99999267566915928</v>
      </c>
      <c r="AK3" s="33">
        <f>STDEV(AH3:AI3)</f>
        <v>2.447774676997946E-6</v>
      </c>
    </row>
    <row r="4" spans="1:37" x14ac:dyDescent="0.35">
      <c r="A4" s="9">
        <v>17</v>
      </c>
      <c r="B4" s="25">
        <v>333.02744666647084</v>
      </c>
      <c r="C4" s="25">
        <v>335.10282256895897</v>
      </c>
      <c r="D4" s="25">
        <f t="shared" ref="D4:D15" si="0">(B4/390.28)</f>
        <v>0.85330390147194546</v>
      </c>
      <c r="E4" s="25">
        <f t="shared" ref="E4:E15" si="1">(C4/374.98)</f>
        <v>0.89365518846060843</v>
      </c>
      <c r="F4" s="28">
        <f t="shared" ref="F4:F15" si="2">AVERAGE(D4:E4)</f>
        <v>0.87347954496627689</v>
      </c>
      <c r="G4" s="28">
        <f t="shared" ref="G4:G15" si="3">STDEV(D4:E4)</f>
        <v>2.853266865928809E-2</v>
      </c>
      <c r="H4" s="25">
        <v>335.55101719377853</v>
      </c>
      <c r="I4" s="25">
        <v>335.24806479550858</v>
      </c>
      <c r="J4" s="25">
        <f t="shared" ref="J4:J15" si="4">(H4/375.71)</f>
        <v>0.89311175426200673</v>
      </c>
      <c r="K4" s="25">
        <f t="shared" ref="K4:K15" si="5">(I4/361.72)</f>
        <v>0.92681650114870218</v>
      </c>
      <c r="L4" s="29">
        <f t="shared" ref="L4:L15" si="6">AVERAGE(J4:K4)</f>
        <v>0.90996412770535451</v>
      </c>
      <c r="M4" s="29">
        <f t="shared" ref="M4:M15" si="7">STDEV(J4:K4)</f>
        <v>2.3832855081758527E-2</v>
      </c>
      <c r="N4" s="25">
        <v>331.83463493149799</v>
      </c>
      <c r="O4" s="25">
        <v>331.481468506694</v>
      </c>
      <c r="P4" s="25">
        <f t="shared" ref="P4:P15" si="8">(N4/366.29)</f>
        <v>0.90593419130060326</v>
      </c>
      <c r="Q4" s="25">
        <f t="shared" ref="Q4:Q15" si="9">(O4/376.16)</f>
        <v>0.88122466106628561</v>
      </c>
      <c r="R4" s="30">
        <f t="shared" ref="R4" si="10">AVERAGE(P4:Q4)</f>
        <v>0.89357942618344444</v>
      </c>
      <c r="S4" s="30">
        <f t="shared" ref="S4:S15" si="11">STDEV(P4:Q4)</f>
        <v>1.7472276388620037E-2</v>
      </c>
      <c r="T4" s="25">
        <v>355.99774493453862</v>
      </c>
      <c r="U4" s="25">
        <v>372.43399091288001</v>
      </c>
      <c r="V4" s="25">
        <f t="shared" ref="V4:V15" si="12">(T4/393.13)</f>
        <v>0.90554713436913647</v>
      </c>
      <c r="W4" s="25">
        <f t="shared" ref="W4:W15" si="13">(U4/393.67)</f>
        <v>0.94605631852282368</v>
      </c>
      <c r="X4" s="31">
        <f t="shared" ref="X4" si="14">AVERAGE(V4:W4)</f>
        <v>0.92580172644598013</v>
      </c>
      <c r="Y4" s="31">
        <f t="shared" ref="Y4:Y15" si="15">STDEV(V4:W4)</f>
        <v>2.8644318815406855E-2</v>
      </c>
      <c r="Z4" s="25">
        <v>350.48049197616012</v>
      </c>
      <c r="AA4" s="25">
        <v>335.57402298207302</v>
      </c>
      <c r="AB4" s="25">
        <f t="shared" ref="AB4:AB15" si="16">(Z4/404.18)</f>
        <v>0.86713962090197461</v>
      </c>
      <c r="AC4" s="25">
        <f t="shared" ref="AC4:AC15" si="17">(AA4/375.87)</f>
        <v>0.89279278203121559</v>
      </c>
      <c r="AD4" s="32">
        <f t="shared" ref="AD4" si="18">AVERAGE(AB4:AC4)</f>
        <v>0.8799662014665951</v>
      </c>
      <c r="AE4" s="32">
        <f t="shared" ref="AE4:AE15" si="19">STDEV(AB4:AC4)</f>
        <v>1.8139524193357452E-2</v>
      </c>
      <c r="AF4" s="25">
        <v>380.07932010257701</v>
      </c>
      <c r="AG4" s="25">
        <v>354.28207431974698</v>
      </c>
      <c r="AH4" s="25">
        <f t="shared" ref="AH4:AH15" si="20">(AF4/391.3)</f>
        <v>0.9713246105355916</v>
      </c>
      <c r="AI4" s="25">
        <f t="shared" ref="AI4:AI15" si="21">(AG4/365.45)</f>
        <v>0.96944061929059244</v>
      </c>
      <c r="AJ4" s="33">
        <f t="shared" ref="AJ4" si="22">AVERAGE(AH4:AI4)</f>
        <v>0.97038261491309208</v>
      </c>
      <c r="AK4" s="33">
        <f t="shared" ref="AK4:AK15" si="23">STDEV(AH4:AI4)</f>
        <v>1.3321829850349934E-3</v>
      </c>
    </row>
    <row r="5" spans="1:37" x14ac:dyDescent="0.35">
      <c r="A5" s="9">
        <v>41</v>
      </c>
      <c r="B5" s="25">
        <v>322.49462536120274</v>
      </c>
      <c r="C5" s="25">
        <v>323.21649694226932</v>
      </c>
      <c r="D5" s="25">
        <f t="shared" si="0"/>
        <v>0.82631604325408103</v>
      </c>
      <c r="E5" s="25">
        <f t="shared" si="1"/>
        <v>0.86195662953295993</v>
      </c>
      <c r="F5" s="28">
        <f t="shared" si="2"/>
        <v>0.84413633639352048</v>
      </c>
      <c r="G5" s="28">
        <f t="shared" si="3"/>
        <v>2.5201700243259486E-2</v>
      </c>
      <c r="H5" s="25">
        <v>329.90523136772902</v>
      </c>
      <c r="I5" s="25">
        <v>333.79868638666744</v>
      </c>
      <c r="J5" s="25">
        <f t="shared" si="4"/>
        <v>0.87808477647049332</v>
      </c>
      <c r="K5" s="25">
        <f t="shared" si="5"/>
        <v>0.9228095941243708</v>
      </c>
      <c r="L5" s="29">
        <f>AVERAGE(J5:K5)</f>
        <v>0.90044718529743206</v>
      </c>
      <c r="M5" s="29">
        <f t="shared" si="7"/>
        <v>3.1625221850388581E-2</v>
      </c>
      <c r="N5" s="25">
        <v>331.17371987821099</v>
      </c>
      <c r="O5" s="25">
        <v>334.48424994483582</v>
      </c>
      <c r="P5" s="25">
        <f t="shared" si="8"/>
        <v>0.90412984214204861</v>
      </c>
      <c r="Q5" s="25">
        <f t="shared" si="9"/>
        <v>0.88920738500860219</v>
      </c>
      <c r="R5" s="30">
        <f>AVERAGE(P5:Q5)</f>
        <v>0.89666861357532546</v>
      </c>
      <c r="S5" s="30">
        <f t="shared" si="11"/>
        <v>1.0551770631025534E-2</v>
      </c>
      <c r="T5" s="25">
        <v>315.20369211128457</v>
      </c>
      <c r="U5" s="25">
        <v>320.08670838243785</v>
      </c>
      <c r="V5" s="25">
        <f t="shared" si="12"/>
        <v>0.80177979831425883</v>
      </c>
      <c r="W5" s="25">
        <f t="shared" si="13"/>
        <v>0.81308382244630739</v>
      </c>
      <c r="X5" s="31">
        <f>AVERAGE(V5:W5)</f>
        <v>0.80743181038028311</v>
      </c>
      <c r="Y5" s="31">
        <f t="shared" si="15"/>
        <v>7.9931521184679159E-3</v>
      </c>
      <c r="Z5" s="25">
        <v>337.62391384846001</v>
      </c>
      <c r="AA5" s="25">
        <v>322.51946227039502</v>
      </c>
      <c r="AB5" s="25">
        <f t="shared" si="16"/>
        <v>0.83533058005952798</v>
      </c>
      <c r="AC5" s="25">
        <f t="shared" si="17"/>
        <v>0.85806119740972953</v>
      </c>
      <c r="AD5" s="32">
        <f>AVERAGE(AB5:AC5)</f>
        <v>0.84669588873462875</v>
      </c>
      <c r="AE5" s="32">
        <f t="shared" si="19"/>
        <v>1.6072973668884102E-2</v>
      </c>
      <c r="AF5" s="25">
        <v>366.63992858616268</v>
      </c>
      <c r="AG5" s="25">
        <v>351.91339549822197</v>
      </c>
      <c r="AH5" s="25">
        <f t="shared" si="20"/>
        <v>0.93697911726594085</v>
      </c>
      <c r="AI5" s="25">
        <f t="shared" si="21"/>
        <v>0.96295907921253787</v>
      </c>
      <c r="AJ5" s="33">
        <f>AVERAGE(AH5:AI5)</f>
        <v>0.94996909823923936</v>
      </c>
      <c r="AK5" s="33">
        <f t="shared" si="23"/>
        <v>1.8370607267407208E-2</v>
      </c>
    </row>
    <row r="6" spans="1:37" x14ac:dyDescent="0.35">
      <c r="A6" s="9">
        <v>65</v>
      </c>
      <c r="B6" s="25">
        <v>315.38257318159322</v>
      </c>
      <c r="C6" s="25">
        <v>325.15544921563099</v>
      </c>
      <c r="D6" s="25">
        <f t="shared" si="0"/>
        <v>0.80809309516652972</v>
      </c>
      <c r="E6" s="25">
        <f t="shared" si="1"/>
        <v>0.86712744470540026</v>
      </c>
      <c r="F6" s="28">
        <f t="shared" si="2"/>
        <v>0.83761026993596499</v>
      </c>
      <c r="G6" s="28">
        <f t="shared" si="3"/>
        <v>4.1743588881872296E-2</v>
      </c>
      <c r="H6" s="25">
        <v>330.71151355722498</v>
      </c>
      <c r="I6" s="25">
        <v>330.28481059619799</v>
      </c>
      <c r="J6" s="25">
        <f t="shared" si="4"/>
        <v>0.88023079917283276</v>
      </c>
      <c r="K6" s="25">
        <f t="shared" si="5"/>
        <v>0.91309524105993023</v>
      </c>
      <c r="L6" s="29">
        <f t="shared" si="6"/>
        <v>0.89666302011638144</v>
      </c>
      <c r="M6" s="29">
        <f t="shared" si="7"/>
        <v>2.323866971827784E-2</v>
      </c>
      <c r="N6" s="25">
        <v>330.57418065702302</v>
      </c>
      <c r="O6" s="25">
        <v>338.55149631190102</v>
      </c>
      <c r="P6" s="25">
        <f t="shared" si="8"/>
        <v>0.90249305374709388</v>
      </c>
      <c r="Q6" s="25">
        <f t="shared" si="9"/>
        <v>0.90001992851951562</v>
      </c>
      <c r="R6" s="30">
        <f t="shared" ref="R6:R15" si="24">AVERAGE(P6:Q6)</f>
        <v>0.90125649113330475</v>
      </c>
      <c r="S6" s="30">
        <f t="shared" si="11"/>
        <v>1.7487636191441075E-3</v>
      </c>
      <c r="T6" s="25">
        <v>305.91338744986842</v>
      </c>
      <c r="U6" s="25">
        <v>314.6452838037182</v>
      </c>
      <c r="V6" s="25">
        <f t="shared" si="12"/>
        <v>0.77814816332986148</v>
      </c>
      <c r="W6" s="25">
        <f t="shared" si="13"/>
        <v>0.79926152311255161</v>
      </c>
      <c r="X6" s="31">
        <f t="shared" ref="X6:X15" si="25">AVERAGE(V6:W6)</f>
        <v>0.78870484322120649</v>
      </c>
      <c r="Y6" s="31">
        <f t="shared" si="15"/>
        <v>1.4929399875971524E-2</v>
      </c>
      <c r="Z6" s="25">
        <v>318.34251610377299</v>
      </c>
      <c r="AA6" s="25">
        <v>314.44891616811157</v>
      </c>
      <c r="AB6" s="25">
        <f t="shared" si="16"/>
        <v>0.78762560271110149</v>
      </c>
      <c r="AC6" s="25">
        <f t="shared" si="17"/>
        <v>0.8365895553465601</v>
      </c>
      <c r="AD6" s="32">
        <f t="shared" ref="AD6:AD15" si="26">AVERAGE(AB6:AC6)</f>
        <v>0.81210757902883079</v>
      </c>
      <c r="AE6" s="32">
        <f t="shared" si="19"/>
        <v>3.4622742942229709E-2</v>
      </c>
      <c r="AF6" s="25">
        <v>351.32504236841606</v>
      </c>
      <c r="AG6" s="25">
        <v>347.177689406441</v>
      </c>
      <c r="AH6" s="25">
        <f t="shared" si="20"/>
        <v>0.89784063983750584</v>
      </c>
      <c r="AI6" s="25">
        <f t="shared" si="21"/>
        <v>0.95000051828277743</v>
      </c>
      <c r="AJ6" s="33">
        <f t="shared" ref="AJ6:AJ15" si="27">AVERAGE(AH6:AI6)</f>
        <v>0.92392057906014169</v>
      </c>
      <c r="AK6" s="33">
        <f t="shared" si="23"/>
        <v>3.6882603754517573E-2</v>
      </c>
    </row>
    <row r="7" spans="1:37" x14ac:dyDescent="0.35">
      <c r="A7" s="9">
        <v>113</v>
      </c>
      <c r="B7" s="25">
        <v>308.12352656021801</v>
      </c>
      <c r="C7" s="25">
        <v>317.95093719226298</v>
      </c>
      <c r="D7" s="25">
        <f t="shared" si="0"/>
        <v>0.78949350866100754</v>
      </c>
      <c r="E7" s="25">
        <f t="shared" si="1"/>
        <v>0.84791438794672502</v>
      </c>
      <c r="F7" s="28">
        <f t="shared" si="2"/>
        <v>0.81870394830386628</v>
      </c>
      <c r="G7" s="28">
        <f t="shared" si="3"/>
        <v>4.1309799905811538E-2</v>
      </c>
      <c r="H7" s="25">
        <v>325.24689812642998</v>
      </c>
      <c r="I7" s="25">
        <v>326.63369590858599</v>
      </c>
      <c r="J7" s="25">
        <f t="shared" si="4"/>
        <v>0.8656860294547124</v>
      </c>
      <c r="K7" s="25">
        <f t="shared" si="5"/>
        <v>0.90300148155641369</v>
      </c>
      <c r="L7" s="29">
        <f t="shared" si="6"/>
        <v>0.8843437555055631</v>
      </c>
      <c r="M7" s="29">
        <f t="shared" si="7"/>
        <v>2.6386009224154787E-2</v>
      </c>
      <c r="N7" s="25">
        <v>333.64506964122603</v>
      </c>
      <c r="O7" s="25">
        <v>322.79031851266097</v>
      </c>
      <c r="P7" s="25">
        <f t="shared" si="8"/>
        <v>0.9108768179344946</v>
      </c>
      <c r="Q7" s="25">
        <f t="shared" si="9"/>
        <v>0.85811973232842664</v>
      </c>
      <c r="R7" s="30">
        <f t="shared" si="24"/>
        <v>0.88449827513146062</v>
      </c>
      <c r="S7" s="30">
        <f t="shared" si="11"/>
        <v>3.7304892987689853E-2</v>
      </c>
      <c r="T7" s="25">
        <v>269.93445387223892</v>
      </c>
      <c r="U7" s="25">
        <v>266.73744861890361</v>
      </c>
      <c r="V7" s="25">
        <f t="shared" si="12"/>
        <v>0.68662898754162471</v>
      </c>
      <c r="W7" s="25">
        <f t="shared" si="13"/>
        <v>0.67756610516143878</v>
      </c>
      <c r="X7" s="31">
        <f t="shared" si="25"/>
        <v>0.68209754635153175</v>
      </c>
      <c r="Y7" s="31">
        <f t="shared" si="15"/>
        <v>6.4084255881255514E-3</v>
      </c>
      <c r="Z7" s="25">
        <v>306.40756963966868</v>
      </c>
      <c r="AA7" s="25">
        <v>307.0922974719125</v>
      </c>
      <c r="AB7" s="25">
        <f t="shared" si="16"/>
        <v>0.75809681240949245</v>
      </c>
      <c r="AC7" s="25">
        <f t="shared" si="17"/>
        <v>0.81701731309205972</v>
      </c>
      <c r="AD7" s="32">
        <f t="shared" si="26"/>
        <v>0.78755706275077608</v>
      </c>
      <c r="AE7" s="32">
        <f t="shared" si="19"/>
        <v>4.1663085583549919E-2</v>
      </c>
      <c r="AF7" s="25">
        <v>311.75058165230098</v>
      </c>
      <c r="AG7" s="25">
        <v>332.000459096974</v>
      </c>
      <c r="AH7" s="25">
        <f t="shared" si="20"/>
        <v>0.79670478316458204</v>
      </c>
      <c r="AI7" s="25">
        <f t="shared" si="21"/>
        <v>0.90847026705971823</v>
      </c>
      <c r="AJ7" s="33">
        <f t="shared" si="27"/>
        <v>0.85258752511215019</v>
      </c>
      <c r="AK7" s="33">
        <f t="shared" si="23"/>
        <v>7.9030131564846659E-2</v>
      </c>
    </row>
    <row r="8" spans="1:37" s="27" customFormat="1" x14ac:dyDescent="0.35">
      <c r="A8" s="12">
        <v>161</v>
      </c>
      <c r="B8" s="26">
        <v>312.102083029722</v>
      </c>
      <c r="C8" s="26">
        <v>310.77659416499603</v>
      </c>
      <c r="D8" s="26">
        <f t="shared" si="0"/>
        <v>0.79968761665912169</v>
      </c>
      <c r="E8" s="26">
        <f t="shared" si="1"/>
        <v>0.82878178613524989</v>
      </c>
      <c r="F8" s="28">
        <f t="shared" si="2"/>
        <v>0.81423470139718579</v>
      </c>
      <c r="G8" s="28">
        <f t="shared" si="3"/>
        <v>2.057268452956091E-2</v>
      </c>
      <c r="H8" s="26">
        <v>328.48701621007302</v>
      </c>
      <c r="I8" s="26">
        <v>326.62622475425798</v>
      </c>
      <c r="J8" s="26">
        <f t="shared" si="4"/>
        <v>0.8743100162627373</v>
      </c>
      <c r="K8" s="26">
        <f t="shared" si="5"/>
        <v>0.90298082703267157</v>
      </c>
      <c r="L8" s="29">
        <f t="shared" si="6"/>
        <v>0.88864542164770444</v>
      </c>
      <c r="M8" s="29">
        <f t="shared" si="7"/>
        <v>2.0273324717536824E-2</v>
      </c>
      <c r="N8" s="26">
        <v>324.79006452925802</v>
      </c>
      <c r="O8" s="26">
        <v>319.53334310223801</v>
      </c>
      <c r="P8" s="26">
        <f t="shared" si="8"/>
        <v>0.88670196983062055</v>
      </c>
      <c r="Q8" s="26">
        <f t="shared" si="9"/>
        <v>0.84946124814503932</v>
      </c>
      <c r="R8" s="30">
        <f t="shared" si="24"/>
        <v>0.86808160898782993</v>
      </c>
      <c r="S8" s="30">
        <f t="shared" si="11"/>
        <v>2.6333166840155405E-2</v>
      </c>
      <c r="T8" s="26">
        <v>197.000303136876</v>
      </c>
      <c r="U8" s="26">
        <v>188.12718916942799</v>
      </c>
      <c r="V8" s="26">
        <f t="shared" si="12"/>
        <v>0.50110727529538834</v>
      </c>
      <c r="W8" s="26">
        <f t="shared" si="13"/>
        <v>0.47788043074003095</v>
      </c>
      <c r="X8" s="31">
        <f t="shared" si="25"/>
        <v>0.48949385301770965</v>
      </c>
      <c r="Y8" s="31">
        <f t="shared" si="15"/>
        <v>1.6423859290659055E-2</v>
      </c>
      <c r="Z8" s="26">
        <v>305.040617306363</v>
      </c>
      <c r="AA8" s="26">
        <v>302.04246943533701</v>
      </c>
      <c r="AB8" s="26">
        <f t="shared" si="16"/>
        <v>0.75471477387887331</v>
      </c>
      <c r="AC8" s="26">
        <f t="shared" si="17"/>
        <v>0.80358227428455853</v>
      </c>
      <c r="AD8" s="32">
        <f t="shared" si="26"/>
        <v>0.77914852408171598</v>
      </c>
      <c r="AE8" s="32">
        <f t="shared" si="19"/>
        <v>3.455454091649638E-2</v>
      </c>
      <c r="AF8" s="26">
        <v>310.54631162479501</v>
      </c>
      <c r="AG8" s="26">
        <v>310.36502171588398</v>
      </c>
      <c r="AH8" s="26">
        <f t="shared" si="20"/>
        <v>0.7936271700096984</v>
      </c>
      <c r="AI8" s="26">
        <f t="shared" si="21"/>
        <v>0.84926808514402519</v>
      </c>
      <c r="AJ8" s="33">
        <f t="shared" si="27"/>
        <v>0.82144762757686185</v>
      </c>
      <c r="AK8" s="33">
        <f t="shared" si="23"/>
        <v>3.9344068402907668E-2</v>
      </c>
    </row>
    <row r="9" spans="1:37" x14ac:dyDescent="0.35">
      <c r="A9" s="9">
        <v>233</v>
      </c>
      <c r="B9" s="25">
        <v>311.379230587932</v>
      </c>
      <c r="C9" s="25">
        <v>310.52512644142598</v>
      </c>
      <c r="D9" s="25">
        <f t="shared" si="0"/>
        <v>0.7978354785998053</v>
      </c>
      <c r="E9" s="25">
        <f t="shared" si="1"/>
        <v>0.82811116977285715</v>
      </c>
      <c r="F9" s="28">
        <f t="shared" si="2"/>
        <v>0.81297332418633128</v>
      </c>
      <c r="G9" s="28">
        <f t="shared" si="3"/>
        <v>2.140814653357466E-2</v>
      </c>
      <c r="H9" s="25">
        <v>314.69011729538403</v>
      </c>
      <c r="I9" s="25">
        <v>327.92075678026799</v>
      </c>
      <c r="J9" s="25">
        <f t="shared" si="4"/>
        <v>0.83758781319470876</v>
      </c>
      <c r="K9" s="25">
        <f t="shared" si="5"/>
        <v>0.90655965050389242</v>
      </c>
      <c r="L9" s="29">
        <f t="shared" si="6"/>
        <v>0.87207373184930059</v>
      </c>
      <c r="M9" s="29">
        <f t="shared" si="7"/>
        <v>4.877045387221908E-2</v>
      </c>
      <c r="N9" s="25">
        <v>325.80236189035298</v>
      </c>
      <c r="O9" s="25">
        <v>315.23916484179301</v>
      </c>
      <c r="P9" s="25">
        <f t="shared" si="8"/>
        <v>0.889465619837705</v>
      </c>
      <c r="Q9" s="25">
        <f t="shared" si="9"/>
        <v>0.83804541908175512</v>
      </c>
      <c r="R9" s="30">
        <f t="shared" si="24"/>
        <v>0.86375551945973006</v>
      </c>
      <c r="S9" s="30">
        <f t="shared" si="11"/>
        <v>3.6359572644505803E-2</v>
      </c>
      <c r="T9" s="25">
        <v>127.84893879340903</v>
      </c>
      <c r="U9" s="25">
        <v>126.49706709985372</v>
      </c>
      <c r="V9" s="25">
        <f t="shared" si="12"/>
        <v>0.32520779079034678</v>
      </c>
      <c r="W9" s="25">
        <f t="shared" si="13"/>
        <v>0.32132767825806824</v>
      </c>
      <c r="X9" s="31">
        <f t="shared" si="25"/>
        <v>0.32326773452420754</v>
      </c>
      <c r="Y9" s="31">
        <f t="shared" si="15"/>
        <v>2.7436538833410665E-3</v>
      </c>
      <c r="Z9" s="25">
        <v>303.98227767151798</v>
      </c>
      <c r="AA9" s="25">
        <v>297.76135074517902</v>
      </c>
      <c r="AB9" s="25">
        <f t="shared" si="16"/>
        <v>0.75209628796951356</v>
      </c>
      <c r="AC9" s="25">
        <f t="shared" si="17"/>
        <v>0.79219238232681244</v>
      </c>
      <c r="AD9" s="32">
        <f t="shared" si="26"/>
        <v>0.77214433514816294</v>
      </c>
      <c r="AE9" s="32">
        <f t="shared" si="19"/>
        <v>2.8352220219141706E-2</v>
      </c>
      <c r="AF9" s="25">
        <v>310.70360798995398</v>
      </c>
      <c r="AG9" s="25">
        <v>302.00245677094102</v>
      </c>
      <c r="AH9" s="25">
        <f t="shared" si="20"/>
        <v>0.7940291540760388</v>
      </c>
      <c r="AI9" s="25">
        <f t="shared" si="21"/>
        <v>0.82638516013391994</v>
      </c>
      <c r="AJ9" s="33">
        <f t="shared" si="27"/>
        <v>0.81020715710497937</v>
      </c>
      <c r="AK9" s="33">
        <f t="shared" si="23"/>
        <v>2.2879151295640762E-2</v>
      </c>
    </row>
    <row r="10" spans="1:37" x14ac:dyDescent="0.35">
      <c r="A10" s="9">
        <v>305</v>
      </c>
      <c r="B10" s="25">
        <v>316.91772011953498</v>
      </c>
      <c r="C10" s="25">
        <v>300.52512644142598</v>
      </c>
      <c r="D10" s="25">
        <f t="shared" si="0"/>
        <v>0.81202654535086349</v>
      </c>
      <c r="E10" s="25">
        <f t="shared" si="1"/>
        <v>0.80144308080811233</v>
      </c>
      <c r="F10" s="28">
        <f t="shared" si="2"/>
        <v>0.80673481307948791</v>
      </c>
      <c r="G10" s="28">
        <f t="shared" si="3"/>
        <v>7.483639546626732E-3</v>
      </c>
      <c r="H10" s="25">
        <v>309.07257091463202</v>
      </c>
      <c r="I10" s="25">
        <v>320.84007526836302</v>
      </c>
      <c r="J10" s="25">
        <f t="shared" si="4"/>
        <v>0.82263599828227096</v>
      </c>
      <c r="K10" s="25">
        <f t="shared" si="5"/>
        <v>0.88698461591386435</v>
      </c>
      <c r="L10" s="29">
        <f t="shared" si="6"/>
        <v>0.85481030709806771</v>
      </c>
      <c r="M10" s="29">
        <f t="shared" si="7"/>
        <v>4.5501343887279923E-2</v>
      </c>
      <c r="N10" s="25">
        <v>327.40820530956103</v>
      </c>
      <c r="O10" s="25">
        <v>315.19595133226898</v>
      </c>
      <c r="P10" s="25">
        <f t="shared" si="8"/>
        <v>0.8938496964415108</v>
      </c>
      <c r="Q10" s="25">
        <f t="shared" si="9"/>
        <v>0.83793053842053633</v>
      </c>
      <c r="R10" s="30">
        <f t="shared" si="24"/>
        <v>0.86589011743102362</v>
      </c>
      <c r="S10" s="30">
        <f t="shared" si="11"/>
        <v>3.9540815834873171E-2</v>
      </c>
      <c r="T10" s="25">
        <v>71.090699072811461</v>
      </c>
      <c r="U10" s="25">
        <v>75.589789108433607</v>
      </c>
      <c r="V10" s="25">
        <f t="shared" si="12"/>
        <v>0.18083254667110488</v>
      </c>
      <c r="W10" s="25">
        <f t="shared" si="13"/>
        <v>0.19201307975825846</v>
      </c>
      <c r="X10" s="31">
        <f t="shared" si="25"/>
        <v>0.18642281321468168</v>
      </c>
      <c r="Y10" s="31">
        <f t="shared" si="15"/>
        <v>7.9058307632068631E-3</v>
      </c>
      <c r="Z10" s="25">
        <v>297.20743813565201</v>
      </c>
      <c r="AA10" s="25">
        <v>291.78139902175002</v>
      </c>
      <c r="AB10" s="25">
        <f t="shared" si="16"/>
        <v>0.73533435136734127</v>
      </c>
      <c r="AC10" s="25">
        <f t="shared" si="17"/>
        <v>0.77628275473368458</v>
      </c>
      <c r="AD10" s="32">
        <f t="shared" si="26"/>
        <v>0.75580855305051298</v>
      </c>
      <c r="AE10" s="32">
        <f t="shared" si="19"/>
        <v>2.8954893699103406E-2</v>
      </c>
      <c r="AF10" s="25">
        <v>305.07171465869402</v>
      </c>
      <c r="AG10" s="25">
        <v>303.704774379198</v>
      </c>
      <c r="AH10" s="25">
        <f t="shared" si="20"/>
        <v>0.77963637786530537</v>
      </c>
      <c r="AI10" s="25">
        <f t="shared" si="21"/>
        <v>0.83104330107866464</v>
      </c>
      <c r="AJ10" s="33">
        <f t="shared" si="27"/>
        <v>0.80533983947198506</v>
      </c>
      <c r="AK10" s="33">
        <f t="shared" si="23"/>
        <v>3.6350184004102483E-2</v>
      </c>
    </row>
    <row r="11" spans="1:37" x14ac:dyDescent="0.35">
      <c r="A11" s="9">
        <v>353</v>
      </c>
      <c r="B11" s="25">
        <v>310.26423247289398</v>
      </c>
      <c r="C11" s="25">
        <v>310.52512644142598</v>
      </c>
      <c r="D11" s="25">
        <f t="shared" si="0"/>
        <v>0.79497856019497282</v>
      </c>
      <c r="E11" s="25">
        <f t="shared" si="1"/>
        <v>0.82811116977285715</v>
      </c>
      <c r="F11" s="28">
        <f t="shared" si="2"/>
        <v>0.81154486498391498</v>
      </c>
      <c r="G11" s="28">
        <f t="shared" si="3"/>
        <v>2.3428292910928364E-2</v>
      </c>
      <c r="H11" s="25">
        <v>311.02107137600302</v>
      </c>
      <c r="I11" s="25">
        <v>314.52602399715198</v>
      </c>
      <c r="J11" s="25">
        <f t="shared" si="4"/>
        <v>0.82782218034122868</v>
      </c>
      <c r="K11" s="25">
        <f t="shared" si="5"/>
        <v>0.86952898373645904</v>
      </c>
      <c r="L11" s="29">
        <f t="shared" si="6"/>
        <v>0.84867558203884386</v>
      </c>
      <c r="M11" s="29">
        <f t="shared" si="7"/>
        <v>2.9491163502381512E-2</v>
      </c>
      <c r="N11" s="25">
        <v>321.48902088942799</v>
      </c>
      <c r="O11" s="25">
        <v>315.16548221111299</v>
      </c>
      <c r="P11" s="25">
        <f t="shared" si="8"/>
        <v>0.87768986565133633</v>
      </c>
      <c r="Q11" s="25">
        <f t="shared" si="9"/>
        <v>0.83784953799211226</v>
      </c>
      <c r="R11" s="30">
        <f t="shared" si="24"/>
        <v>0.8577697018217243</v>
      </c>
      <c r="S11" s="30">
        <f t="shared" si="11"/>
        <v>2.8171365852531313E-2</v>
      </c>
      <c r="T11" s="25">
        <v>23.600438001183139</v>
      </c>
      <c r="U11" s="25">
        <v>26.67331348430524</v>
      </c>
      <c r="V11" s="25">
        <f t="shared" si="12"/>
        <v>6.0032147129914122E-2</v>
      </c>
      <c r="W11" s="25">
        <f t="shared" si="13"/>
        <v>6.7755514731387301E-2</v>
      </c>
      <c r="X11" s="31">
        <f t="shared" si="25"/>
        <v>6.3893830930650708E-2</v>
      </c>
      <c r="Y11" s="31">
        <f t="shared" si="15"/>
        <v>5.4612456045981649E-3</v>
      </c>
      <c r="Z11" s="25">
        <v>299.471116078938</v>
      </c>
      <c r="AA11" s="25">
        <v>295.71536146711202</v>
      </c>
      <c r="AB11" s="25">
        <f t="shared" si="16"/>
        <v>0.74093501924622196</v>
      </c>
      <c r="AC11" s="25">
        <f t="shared" si="17"/>
        <v>0.78674903947405228</v>
      </c>
      <c r="AD11" s="32">
        <f t="shared" si="26"/>
        <v>0.76384202936013712</v>
      </c>
      <c r="AE11" s="32">
        <f t="shared" si="19"/>
        <v>3.239540437651648E-2</v>
      </c>
      <c r="AF11" s="25">
        <v>301.63021118694502</v>
      </c>
      <c r="AG11" s="25">
        <v>297.13889279542298</v>
      </c>
      <c r="AH11" s="25">
        <f t="shared" si="20"/>
        <v>0.77084132682582418</v>
      </c>
      <c r="AI11" s="25">
        <f t="shared" si="21"/>
        <v>0.8130767349717416</v>
      </c>
      <c r="AJ11" s="33">
        <f t="shared" si="27"/>
        <v>0.79195903089878295</v>
      </c>
      <c r="AK11" s="33">
        <f t="shared" si="23"/>
        <v>2.9864943506159754E-2</v>
      </c>
    </row>
    <row r="12" spans="1:37" x14ac:dyDescent="0.35">
      <c r="A12" s="9">
        <v>425</v>
      </c>
      <c r="B12" s="25">
        <v>309.759509020189</v>
      </c>
      <c r="C12" s="25">
        <v>308.52512644142598</v>
      </c>
      <c r="D12" s="25">
        <f t="shared" si="0"/>
        <v>0.79368532597158203</v>
      </c>
      <c r="E12" s="25">
        <f t="shared" si="1"/>
        <v>0.82277755197990821</v>
      </c>
      <c r="F12" s="28">
        <f t="shared" si="2"/>
        <v>0.80823143897574512</v>
      </c>
      <c r="G12" s="28">
        <f t="shared" si="3"/>
        <v>2.0571310290299082E-2</v>
      </c>
      <c r="H12" s="25">
        <v>318.60268204595502</v>
      </c>
      <c r="I12" s="25">
        <v>306.73920566469297</v>
      </c>
      <c r="J12" s="25">
        <f t="shared" si="4"/>
        <v>0.84800160242196121</v>
      </c>
      <c r="K12" s="25">
        <f t="shared" si="5"/>
        <v>0.84800178498477541</v>
      </c>
      <c r="L12" s="29">
        <f t="shared" si="6"/>
        <v>0.84800169370336831</v>
      </c>
      <c r="M12" s="29">
        <f t="shared" si="7"/>
        <v>1.2909140391287553E-7</v>
      </c>
      <c r="N12" s="25">
        <v>320.69361383926997</v>
      </c>
      <c r="O12" s="25">
        <v>313.54796755747498</v>
      </c>
      <c r="P12" s="25">
        <f t="shared" si="8"/>
        <v>0.8755183429503125</v>
      </c>
      <c r="Q12" s="25">
        <f t="shared" si="9"/>
        <v>0.83354946713492917</v>
      </c>
      <c r="R12" s="30">
        <f t="shared" si="24"/>
        <v>0.85453390504262083</v>
      </c>
      <c r="S12" s="30">
        <f t="shared" si="11"/>
        <v>2.9676476687833648E-2</v>
      </c>
      <c r="T12" s="25">
        <v>0</v>
      </c>
      <c r="U12" s="25">
        <v>0</v>
      </c>
      <c r="V12" s="25">
        <f t="shared" si="12"/>
        <v>0</v>
      </c>
      <c r="W12" s="25">
        <f t="shared" si="13"/>
        <v>0</v>
      </c>
      <c r="X12" s="31">
        <f t="shared" si="25"/>
        <v>0</v>
      </c>
      <c r="Y12" s="31">
        <f t="shared" si="15"/>
        <v>0</v>
      </c>
      <c r="Z12" s="25">
        <v>298.41849757700101</v>
      </c>
      <c r="AA12" s="25">
        <v>292.62692936099802</v>
      </c>
      <c r="AB12" s="25">
        <f t="shared" si="16"/>
        <v>0.73833068825028703</v>
      </c>
      <c r="AC12" s="25">
        <f t="shared" si="17"/>
        <v>0.77853228339851022</v>
      </c>
      <c r="AD12" s="32">
        <f t="shared" si="26"/>
        <v>0.75843148582439857</v>
      </c>
      <c r="AE12" s="32">
        <f t="shared" si="19"/>
        <v>2.8426820543824827E-2</v>
      </c>
      <c r="AF12" s="25">
        <v>295.77272325409803</v>
      </c>
      <c r="AG12" s="25">
        <v>299.48575281465401</v>
      </c>
      <c r="AH12" s="25">
        <f t="shared" si="20"/>
        <v>0.75587202467185799</v>
      </c>
      <c r="AI12" s="25">
        <f t="shared" si="21"/>
        <v>0.8194985711168532</v>
      </c>
      <c r="AJ12" s="33">
        <f t="shared" si="27"/>
        <v>0.7876852978943556</v>
      </c>
      <c r="AK12" s="33">
        <f t="shared" si="23"/>
        <v>4.4990762454736932E-2</v>
      </c>
    </row>
    <row r="13" spans="1:37" x14ac:dyDescent="0.35">
      <c r="A13" s="9">
        <v>497</v>
      </c>
      <c r="B13" s="25">
        <v>307.00173457916299</v>
      </c>
      <c r="C13" s="25">
        <v>300.52512644142598</v>
      </c>
      <c r="D13" s="25">
        <f t="shared" si="0"/>
        <v>0.78661918258471608</v>
      </c>
      <c r="E13" s="25">
        <f t="shared" si="1"/>
        <v>0.80144308080811233</v>
      </c>
      <c r="F13" s="28">
        <f t="shared" si="2"/>
        <v>0.79403113169641415</v>
      </c>
      <c r="G13" s="28">
        <f t="shared" si="3"/>
        <v>1.0482078957382701E-2</v>
      </c>
      <c r="H13" s="25">
        <v>308.38403033287199</v>
      </c>
      <c r="I13" s="25">
        <v>304.26664537732302</v>
      </c>
      <c r="J13" s="25">
        <f t="shared" si="4"/>
        <v>0.82080335985965769</v>
      </c>
      <c r="K13" s="25">
        <f t="shared" si="5"/>
        <v>0.84116622077110192</v>
      </c>
      <c r="L13" s="29">
        <f t="shared" si="6"/>
        <v>0.83098479031537975</v>
      </c>
      <c r="M13" s="29">
        <f t="shared" si="7"/>
        <v>1.4398717034840702E-2</v>
      </c>
      <c r="N13" s="25">
        <v>318.10447686032001</v>
      </c>
      <c r="O13" s="25">
        <v>312.85852769706298</v>
      </c>
      <c r="P13" s="25">
        <f t="shared" si="8"/>
        <v>0.86844979895798413</v>
      </c>
      <c r="Q13" s="25">
        <f t="shared" si="9"/>
        <v>0.83171663041541621</v>
      </c>
      <c r="R13" s="30">
        <f t="shared" si="24"/>
        <v>0.85008321468670012</v>
      </c>
      <c r="S13" s="30">
        <f t="shared" si="11"/>
        <v>2.5974272570918142E-2</v>
      </c>
      <c r="T13" s="25">
        <v>0</v>
      </c>
      <c r="U13" s="25">
        <v>0</v>
      </c>
      <c r="V13" s="25">
        <f t="shared" si="12"/>
        <v>0</v>
      </c>
      <c r="W13" s="25">
        <f t="shared" si="13"/>
        <v>0</v>
      </c>
      <c r="X13" s="31">
        <f t="shared" si="25"/>
        <v>0</v>
      </c>
      <c r="Y13" s="31">
        <f t="shared" si="15"/>
        <v>0</v>
      </c>
      <c r="Z13" s="25">
        <v>295.91672193349302</v>
      </c>
      <c r="AA13" s="25">
        <v>294.36468276644803</v>
      </c>
      <c r="AB13" s="25">
        <f t="shared" si="16"/>
        <v>0.73214093209335696</v>
      </c>
      <c r="AC13" s="25">
        <f t="shared" si="17"/>
        <v>0.78315556646300055</v>
      </c>
      <c r="AD13" s="32">
        <f t="shared" si="26"/>
        <v>0.75764824927817875</v>
      </c>
      <c r="AE13" s="32">
        <f t="shared" si="19"/>
        <v>3.6072793902527302E-2</v>
      </c>
      <c r="AF13" s="25">
        <v>298.93929914309399</v>
      </c>
      <c r="AG13" s="25">
        <v>291.72027278196202</v>
      </c>
      <c r="AH13" s="25">
        <f t="shared" si="20"/>
        <v>0.76396447519318678</v>
      </c>
      <c r="AI13" s="25">
        <f t="shared" si="21"/>
        <v>0.79824948086458347</v>
      </c>
      <c r="AJ13" s="33">
        <f t="shared" si="27"/>
        <v>0.78110697802888507</v>
      </c>
      <c r="AK13" s="33">
        <f t="shared" si="23"/>
        <v>2.4243160003263844E-2</v>
      </c>
    </row>
    <row r="14" spans="1:37" x14ac:dyDescent="0.35">
      <c r="A14" s="9">
        <v>593</v>
      </c>
      <c r="B14" s="25">
        <v>304.16218679570102</v>
      </c>
      <c r="C14" s="25">
        <v>302.91388258292602</v>
      </c>
      <c r="D14" s="25">
        <f t="shared" si="0"/>
        <v>0.77934351438890292</v>
      </c>
      <c r="E14" s="25">
        <f t="shared" si="1"/>
        <v>0.80781343693777274</v>
      </c>
      <c r="F14" s="28">
        <f t="shared" si="2"/>
        <v>0.79357847566333783</v>
      </c>
      <c r="G14" s="28">
        <f t="shared" si="3"/>
        <v>2.0131275294161647E-2</v>
      </c>
      <c r="H14" s="23">
        <v>310.04733046124898</v>
      </c>
      <c r="I14" s="23">
        <v>303.26770395455998</v>
      </c>
      <c r="J14" s="25">
        <f t="shared" si="4"/>
        <v>0.82523044492094699</v>
      </c>
      <c r="K14" s="25">
        <f t="shared" si="5"/>
        <v>0.83840457800110568</v>
      </c>
      <c r="L14" s="29">
        <f t="shared" si="6"/>
        <v>0.83181751146102634</v>
      </c>
      <c r="M14" s="29">
        <f t="shared" si="7"/>
        <v>9.3155188372342282E-3</v>
      </c>
      <c r="N14" s="23">
        <v>321.18261699703203</v>
      </c>
      <c r="O14" s="23">
        <v>317.87394133472401</v>
      </c>
      <c r="P14" s="25">
        <f t="shared" si="8"/>
        <v>0.87685335935196707</v>
      </c>
      <c r="Q14" s="25">
        <f t="shared" si="9"/>
        <v>0.84504982277414931</v>
      </c>
      <c r="R14" s="30">
        <f t="shared" si="24"/>
        <v>0.86095159106305819</v>
      </c>
      <c r="S14" s="30">
        <f t="shared" si="11"/>
        <v>2.2488496379889342E-2</v>
      </c>
      <c r="T14" s="25">
        <v>0</v>
      </c>
      <c r="U14" s="25">
        <v>0</v>
      </c>
      <c r="V14" s="25">
        <f t="shared" si="12"/>
        <v>0</v>
      </c>
      <c r="W14" s="25">
        <f t="shared" si="13"/>
        <v>0</v>
      </c>
      <c r="X14" s="31">
        <f t="shared" si="25"/>
        <v>0</v>
      </c>
      <c r="Y14" s="31">
        <f t="shared" si="15"/>
        <v>0</v>
      </c>
      <c r="Z14" s="25">
        <v>292.86305853234501</v>
      </c>
      <c r="AA14" s="25">
        <v>293.58186334306203</v>
      </c>
      <c r="AB14" s="25">
        <f t="shared" si="16"/>
        <v>0.72458572549939382</v>
      </c>
      <c r="AC14" s="25">
        <f t="shared" si="17"/>
        <v>0.78107287983361806</v>
      </c>
      <c r="AD14" s="32">
        <f t="shared" si="26"/>
        <v>0.75282930266650594</v>
      </c>
      <c r="AE14" s="32">
        <f t="shared" si="19"/>
        <v>3.9942449879661043E-2</v>
      </c>
      <c r="AF14" s="23">
        <v>292.96576308015602</v>
      </c>
      <c r="AG14" s="23">
        <v>295.47521157184201</v>
      </c>
      <c r="AH14" s="25">
        <f t="shared" si="20"/>
        <v>0.74869860230042429</v>
      </c>
      <c r="AI14" s="25">
        <f t="shared" si="21"/>
        <v>0.80852431679256265</v>
      </c>
      <c r="AJ14" s="33">
        <f t="shared" si="27"/>
        <v>0.77861145954649347</v>
      </c>
      <c r="AK14" s="33">
        <f t="shared" si="23"/>
        <v>4.2303168406721346E-2</v>
      </c>
    </row>
    <row r="15" spans="1:37" x14ac:dyDescent="0.35">
      <c r="A15" s="9">
        <v>737</v>
      </c>
      <c r="B15" s="25">
        <v>308.058418050753</v>
      </c>
      <c r="C15" s="25">
        <v>294.43299440115101</v>
      </c>
      <c r="D15" s="25">
        <f t="shared" si="0"/>
        <v>0.78932668353682744</v>
      </c>
      <c r="E15" s="25">
        <f t="shared" si="1"/>
        <v>0.78519652888460978</v>
      </c>
      <c r="F15" s="28">
        <f t="shared" si="2"/>
        <v>0.78726160621071861</v>
      </c>
      <c r="G15" s="28">
        <f t="shared" si="3"/>
        <v>2.9204603619322781E-3</v>
      </c>
      <c r="H15" s="25">
        <v>301.12677797253099</v>
      </c>
      <c r="I15" s="25">
        <v>307.70370124074498</v>
      </c>
      <c r="J15" s="25">
        <f t="shared" si="4"/>
        <v>0.80148725871691195</v>
      </c>
      <c r="K15" s="25">
        <f t="shared" si="5"/>
        <v>0.85066819982512709</v>
      </c>
      <c r="L15" s="29">
        <f t="shared" si="6"/>
        <v>0.82607772927101952</v>
      </c>
      <c r="M15" s="29">
        <f t="shared" si="7"/>
        <v>3.4776176962755159E-2</v>
      </c>
      <c r="N15" s="23">
        <v>318.31255893810697</v>
      </c>
      <c r="O15" s="23">
        <v>314.98463296241198</v>
      </c>
      <c r="P15" s="25">
        <f t="shared" si="8"/>
        <v>0.86901787910701067</v>
      </c>
      <c r="Q15" s="25">
        <f t="shared" si="9"/>
        <v>0.83736876053384723</v>
      </c>
      <c r="R15" s="30">
        <f t="shared" si="24"/>
        <v>0.8531933198204289</v>
      </c>
      <c r="S15" s="30">
        <f t="shared" si="11"/>
        <v>2.2379306361660977E-2</v>
      </c>
      <c r="T15" s="25">
        <v>0</v>
      </c>
      <c r="U15" s="25">
        <v>0</v>
      </c>
      <c r="V15" s="25">
        <f t="shared" si="12"/>
        <v>0</v>
      </c>
      <c r="W15" s="25">
        <f t="shared" si="13"/>
        <v>0</v>
      </c>
      <c r="X15" s="31">
        <f t="shared" si="25"/>
        <v>0</v>
      </c>
      <c r="Y15" s="31">
        <f t="shared" si="15"/>
        <v>0</v>
      </c>
      <c r="Z15" s="25">
        <v>297.11060754281601</v>
      </c>
      <c r="AA15" s="25">
        <v>294.06948478867901</v>
      </c>
      <c r="AB15" s="25">
        <f t="shared" si="16"/>
        <v>0.73509477842252469</v>
      </c>
      <c r="AC15" s="25">
        <f t="shared" si="17"/>
        <v>0.78237019391991647</v>
      </c>
      <c r="AD15" s="32">
        <f t="shared" si="26"/>
        <v>0.75873248617122058</v>
      </c>
      <c r="AE15" s="32">
        <f t="shared" si="19"/>
        <v>3.3428766881617326E-2</v>
      </c>
      <c r="AF15" s="23">
        <v>297.97553586316002</v>
      </c>
      <c r="AG15" s="23">
        <v>292.09375884718702</v>
      </c>
      <c r="AH15" s="25">
        <f t="shared" si="20"/>
        <v>0.76150149722248917</v>
      </c>
      <c r="AI15" s="25">
        <f t="shared" si="21"/>
        <v>0.79927147037128754</v>
      </c>
      <c r="AJ15" s="33">
        <f t="shared" si="27"/>
        <v>0.78038648379688835</v>
      </c>
      <c r="AK15" s="33">
        <f t="shared" si="23"/>
        <v>2.6707404138749148E-2</v>
      </c>
    </row>
    <row r="16" spans="1:37" x14ac:dyDescent="0.35">
      <c r="M16" s="9"/>
      <c r="N16" s="13"/>
      <c r="O16" s="9"/>
    </row>
    <row r="17" spans="13:24" x14ac:dyDescent="0.35">
      <c r="M17" s="9"/>
      <c r="N17" s="13"/>
      <c r="O17" s="9"/>
      <c r="V17" s="9"/>
    </row>
    <row r="18" spans="13:24" x14ac:dyDescent="0.35">
      <c r="M18" s="9"/>
      <c r="N18" s="13"/>
      <c r="O18" s="11"/>
      <c r="T18" s="25"/>
      <c r="U18" s="25"/>
      <c r="V18" s="11"/>
      <c r="W18" s="9"/>
      <c r="X18" s="9"/>
    </row>
    <row r="19" spans="13:24" x14ac:dyDescent="0.35">
      <c r="M19" s="9"/>
      <c r="N19" s="9"/>
      <c r="O19" s="9"/>
      <c r="T19" s="25"/>
      <c r="U19" s="25"/>
      <c r="V19" s="11"/>
      <c r="W19" s="10"/>
      <c r="X19" s="9"/>
    </row>
    <row r="20" spans="13:24" x14ac:dyDescent="0.35">
      <c r="M20" s="9"/>
      <c r="N20" s="11"/>
      <c r="O20" s="11"/>
      <c r="T20" s="25"/>
      <c r="U20" s="25"/>
      <c r="V20" s="11"/>
      <c r="W20" s="10"/>
      <c r="X20" s="9"/>
    </row>
    <row r="21" spans="13:24" x14ac:dyDescent="0.35">
      <c r="M21" s="9"/>
      <c r="N21" s="9"/>
      <c r="O21" s="9"/>
      <c r="T21" s="25"/>
      <c r="U21" s="25"/>
      <c r="V21" s="11"/>
      <c r="W21" s="10"/>
      <c r="X21" s="9"/>
    </row>
    <row r="22" spans="13:24" x14ac:dyDescent="0.35">
      <c r="T22" s="25"/>
      <c r="U22" s="25"/>
      <c r="V22" s="11"/>
      <c r="W22" s="9"/>
      <c r="X22" s="9"/>
    </row>
    <row r="23" spans="13:24" x14ac:dyDescent="0.35">
      <c r="T23" s="26"/>
      <c r="U23" s="26"/>
      <c r="V23" s="11"/>
      <c r="W23" s="9"/>
      <c r="X23" s="9"/>
    </row>
    <row r="24" spans="13:24" x14ac:dyDescent="0.35">
      <c r="T24" s="25"/>
      <c r="U24" s="25"/>
      <c r="V24" s="11"/>
      <c r="W24" s="10"/>
      <c r="X24" s="9"/>
    </row>
    <row r="25" spans="13:24" x14ac:dyDescent="0.35">
      <c r="T25" s="25"/>
      <c r="U25" s="25"/>
      <c r="V25" s="11"/>
      <c r="W25" s="10"/>
      <c r="X25" s="9"/>
    </row>
    <row r="26" spans="13:24" x14ac:dyDescent="0.35">
      <c r="T26" s="25"/>
      <c r="U26" s="25"/>
      <c r="V26" s="11"/>
      <c r="W26" s="9"/>
      <c r="X26" s="9"/>
    </row>
    <row r="27" spans="13:24" x14ac:dyDescent="0.35">
      <c r="T27" s="25"/>
      <c r="U27" s="25"/>
      <c r="V27" s="11"/>
      <c r="W27" s="9"/>
      <c r="X27" s="9"/>
    </row>
    <row r="28" spans="13:24" x14ac:dyDescent="0.35">
      <c r="T28" s="25"/>
      <c r="U28" s="25"/>
      <c r="V28" s="11"/>
      <c r="W28" s="10"/>
      <c r="X28" s="9"/>
    </row>
    <row r="29" spans="13:24" x14ac:dyDescent="0.35">
      <c r="T29" s="25"/>
      <c r="U29" s="25"/>
      <c r="V29" s="11"/>
      <c r="W29" s="10"/>
      <c r="X29" s="9"/>
    </row>
    <row r="30" spans="13:24" x14ac:dyDescent="0.35">
      <c r="T30" s="25"/>
      <c r="U30" s="25"/>
      <c r="V30" s="11"/>
      <c r="W30" s="10"/>
      <c r="X30" s="9"/>
    </row>
    <row r="31" spans="13:24" x14ac:dyDescent="0.35">
      <c r="V31" s="9"/>
      <c r="W31" s="10"/>
      <c r="X31" s="9"/>
    </row>
    <row r="32" spans="13:24" x14ac:dyDescent="0.35">
      <c r="V32" s="9"/>
      <c r="W32" s="10"/>
      <c r="X32" s="9"/>
    </row>
    <row r="33" spans="22:24" x14ac:dyDescent="0.35">
      <c r="V33" s="9"/>
      <c r="W33" s="10"/>
      <c r="X33" s="9"/>
    </row>
    <row r="34" spans="22:24" x14ac:dyDescent="0.35">
      <c r="V34" s="9"/>
      <c r="W34" s="10"/>
      <c r="X34" s="9"/>
    </row>
    <row r="35" spans="22:24" x14ac:dyDescent="0.35">
      <c r="V35" s="9"/>
      <c r="W35" s="10"/>
      <c r="X35" s="9"/>
    </row>
    <row r="36" spans="22:24" x14ac:dyDescent="0.35">
      <c r="V36" s="9"/>
      <c r="W36" s="10"/>
      <c r="X36" s="9"/>
    </row>
    <row r="37" spans="22:24" x14ac:dyDescent="0.35">
      <c r="V37" s="9"/>
      <c r="W37" s="10"/>
      <c r="X37" s="9"/>
    </row>
    <row r="38" spans="22:24" x14ac:dyDescent="0.35">
      <c r="V38" s="9"/>
      <c r="W38" s="10"/>
      <c r="X38" s="9"/>
    </row>
    <row r="39" spans="22:24" x14ac:dyDescent="0.35">
      <c r="V39" s="9"/>
      <c r="W39" s="10"/>
      <c r="X39" s="9"/>
    </row>
    <row r="40" spans="22:24" x14ac:dyDescent="0.35">
      <c r="V40" s="9"/>
      <c r="W40" s="10"/>
      <c r="X40" s="9"/>
    </row>
    <row r="41" spans="22:24" x14ac:dyDescent="0.35">
      <c r="V41" s="9"/>
      <c r="W41" s="10"/>
      <c r="X41" s="9"/>
    </row>
    <row r="42" spans="22:24" x14ac:dyDescent="0.35">
      <c r="V42" s="9"/>
      <c r="W42" s="9"/>
      <c r="X42" s="9"/>
    </row>
    <row r="43" spans="22:24" x14ac:dyDescent="0.35">
      <c r="V43" s="9"/>
      <c r="W43" s="9"/>
      <c r="X43" s="9"/>
    </row>
    <row r="44" spans="22:24" x14ac:dyDescent="0.35">
      <c r="V44" s="9"/>
      <c r="W44" s="9"/>
      <c r="X44" s="9"/>
    </row>
    <row r="45" spans="22:24" x14ac:dyDescent="0.35">
      <c r="V45" s="9"/>
      <c r="W45" s="9"/>
      <c r="X45" s="9"/>
    </row>
    <row r="46" spans="22:24" x14ac:dyDescent="0.35">
      <c r="V46" s="9"/>
      <c r="W46" s="9"/>
      <c r="X46" s="9"/>
    </row>
    <row r="47" spans="22:24" x14ac:dyDescent="0.35">
      <c r="V47" s="9"/>
      <c r="W47" s="9"/>
      <c r="X47" s="9"/>
    </row>
    <row r="48" spans="22:24" x14ac:dyDescent="0.35">
      <c r="V48" s="9"/>
      <c r="W48" s="9"/>
      <c r="X48" s="9"/>
    </row>
    <row r="49" spans="22:24" x14ac:dyDescent="0.35">
      <c r="V49" s="9"/>
      <c r="W49" s="9"/>
      <c r="X49" s="9"/>
    </row>
    <row r="50" spans="22:24" x14ac:dyDescent="0.35">
      <c r="V50" s="9"/>
      <c r="W50" s="9"/>
      <c r="X50" s="9"/>
    </row>
    <row r="51" spans="22:24" x14ac:dyDescent="0.35">
      <c r="V51" s="9"/>
      <c r="W51" s="9"/>
      <c r="X51" s="9"/>
    </row>
    <row r="52" spans="22:24" x14ac:dyDescent="0.35">
      <c r="V52" s="9"/>
      <c r="W52" s="9"/>
      <c r="X52" s="9"/>
    </row>
    <row r="53" spans="22:24" x14ac:dyDescent="0.35">
      <c r="V53" s="9"/>
      <c r="W53" s="9"/>
      <c r="X53" s="9"/>
    </row>
    <row r="54" spans="22:24" x14ac:dyDescent="0.35">
      <c r="V54" s="9"/>
      <c r="W54" s="9"/>
      <c r="X54" s="9"/>
    </row>
    <row r="55" spans="22:24" x14ac:dyDescent="0.35">
      <c r="V55" s="9"/>
      <c r="W55" s="9"/>
      <c r="X55" s="9"/>
    </row>
    <row r="56" spans="22:24" x14ac:dyDescent="0.35">
      <c r="V56" s="9"/>
      <c r="W56" s="9"/>
      <c r="X56" s="9"/>
    </row>
    <row r="57" spans="22:24" x14ac:dyDescent="0.35">
      <c r="V57" s="9"/>
      <c r="W57" s="9"/>
      <c r="X57" s="9"/>
    </row>
    <row r="58" spans="22:24" x14ac:dyDescent="0.35">
      <c r="V58" s="9"/>
      <c r="W58" s="9"/>
      <c r="X58" s="9"/>
    </row>
    <row r="59" spans="22:24" x14ac:dyDescent="0.35">
      <c r="V59" s="9"/>
      <c r="W59" s="9"/>
      <c r="X59" s="9"/>
    </row>
    <row r="60" spans="22:24" x14ac:dyDescent="0.35">
      <c r="V60" s="9"/>
      <c r="W60" s="9"/>
      <c r="X60" s="9"/>
    </row>
    <row r="61" spans="22:24" x14ac:dyDescent="0.35">
      <c r="V61" s="9"/>
      <c r="W61" s="9"/>
      <c r="X61" s="9"/>
    </row>
    <row r="62" spans="22:24" x14ac:dyDescent="0.35">
      <c r="V62" s="9"/>
      <c r="W62" s="9"/>
      <c r="X62" s="9"/>
    </row>
    <row r="63" spans="22:24" x14ac:dyDescent="0.35">
      <c r="V63" s="9"/>
      <c r="W63" s="9"/>
      <c r="X63" s="9"/>
    </row>
    <row r="64" spans="22:24" x14ac:dyDescent="0.35">
      <c r="V64" s="9"/>
      <c r="W64" s="9"/>
      <c r="X64" s="9"/>
    </row>
    <row r="65" spans="22:24" x14ac:dyDescent="0.35">
      <c r="V65" s="9"/>
      <c r="W65" s="9"/>
      <c r="X65" s="9"/>
    </row>
    <row r="66" spans="22:24" x14ac:dyDescent="0.35">
      <c r="V66" s="9"/>
      <c r="W66" s="9"/>
      <c r="X66" s="9"/>
    </row>
    <row r="67" spans="22:24" x14ac:dyDescent="0.35">
      <c r="V67" s="9"/>
      <c r="W67" s="9"/>
      <c r="X67" s="9"/>
    </row>
    <row r="68" spans="22:24" x14ac:dyDescent="0.35">
      <c r="V68" s="9"/>
      <c r="W68" s="9"/>
      <c r="X68" s="9"/>
    </row>
    <row r="69" spans="22:24" x14ac:dyDescent="0.35">
      <c r="V69" s="9"/>
      <c r="W69" s="9"/>
      <c r="X69" s="9"/>
    </row>
    <row r="70" spans="22:24" x14ac:dyDescent="0.35">
      <c r="V70" s="9"/>
      <c r="W70" s="9"/>
      <c r="X70" s="9"/>
    </row>
    <row r="71" spans="22:24" x14ac:dyDescent="0.35">
      <c r="V71" s="9"/>
      <c r="W71" s="9"/>
      <c r="X71" s="9"/>
    </row>
    <row r="72" spans="22:24" x14ac:dyDescent="0.35">
      <c r="V72" s="9"/>
      <c r="W72" s="9"/>
      <c r="X72" s="9"/>
    </row>
    <row r="73" spans="22:24" x14ac:dyDescent="0.35">
      <c r="V73" s="9"/>
      <c r="W73" s="9"/>
      <c r="X73" s="9"/>
    </row>
    <row r="74" spans="22:24" x14ac:dyDescent="0.35">
      <c r="V74" s="9"/>
      <c r="W74" s="9"/>
      <c r="X74" s="9"/>
    </row>
    <row r="75" spans="22:24" x14ac:dyDescent="0.35">
      <c r="V75" s="9"/>
      <c r="W75" s="9"/>
      <c r="X75" s="9"/>
    </row>
    <row r="76" spans="22:24" x14ac:dyDescent="0.35">
      <c r="V76" s="9"/>
      <c r="W76" s="9"/>
      <c r="X76" s="9"/>
    </row>
    <row r="77" spans="22:24" x14ac:dyDescent="0.35">
      <c r="V77" s="9"/>
      <c r="W77" s="9"/>
      <c r="X77" s="9"/>
    </row>
    <row r="78" spans="22:24" x14ac:dyDescent="0.35">
      <c r="V78" s="9"/>
      <c r="W78" s="9"/>
      <c r="X78" s="9"/>
    </row>
    <row r="79" spans="22:24" x14ac:dyDescent="0.35">
      <c r="V79" s="9"/>
      <c r="W79" s="9"/>
      <c r="X79" s="9"/>
    </row>
    <row r="80" spans="22:24" x14ac:dyDescent="0.35">
      <c r="V80" s="9"/>
      <c r="W80" s="9"/>
      <c r="X80" s="9"/>
    </row>
    <row r="81" spans="22:24" x14ac:dyDescent="0.35">
      <c r="V81" s="9"/>
      <c r="W81" s="9"/>
      <c r="X81" s="9"/>
    </row>
    <row r="82" spans="22:24" x14ac:dyDescent="0.35">
      <c r="V82" s="9"/>
      <c r="W82" s="9"/>
      <c r="X82" s="9"/>
    </row>
    <row r="83" spans="22:24" x14ac:dyDescent="0.35">
      <c r="V83" s="9"/>
      <c r="W83" s="9"/>
      <c r="X83" s="9"/>
    </row>
    <row r="84" spans="22:24" x14ac:dyDescent="0.35">
      <c r="V84" s="9"/>
      <c r="W84" s="9"/>
      <c r="X84" s="9"/>
    </row>
    <row r="85" spans="22:24" x14ac:dyDescent="0.35">
      <c r="V85" s="9"/>
      <c r="W85" s="9"/>
      <c r="X85" s="9"/>
    </row>
    <row r="86" spans="22:24" x14ac:dyDescent="0.35">
      <c r="V86" s="9"/>
      <c r="W86" s="9"/>
      <c r="X86" s="9"/>
    </row>
    <row r="87" spans="22:24" x14ac:dyDescent="0.35">
      <c r="V87" s="9"/>
      <c r="W87" s="9"/>
      <c r="X87" s="9"/>
    </row>
    <row r="88" spans="22:24" x14ac:dyDescent="0.35">
      <c r="V88" s="9"/>
      <c r="W88" s="9"/>
      <c r="X88" s="9"/>
    </row>
    <row r="89" spans="22:24" x14ac:dyDescent="0.35">
      <c r="V89" s="9"/>
      <c r="W89" s="9"/>
      <c r="X89" s="9"/>
    </row>
    <row r="90" spans="22:24" x14ac:dyDescent="0.35">
      <c r="V90" s="9"/>
      <c r="W90" s="9"/>
      <c r="X90" s="9"/>
    </row>
    <row r="91" spans="22:24" x14ac:dyDescent="0.35">
      <c r="V91" s="9"/>
      <c r="W91" s="9"/>
      <c r="X91" s="9"/>
    </row>
    <row r="92" spans="22:24" x14ac:dyDescent="0.35">
      <c r="V92" s="9"/>
      <c r="W92" s="9"/>
      <c r="X92" s="9"/>
    </row>
    <row r="93" spans="22:24" x14ac:dyDescent="0.35">
      <c r="V93" s="9"/>
      <c r="W93" s="9"/>
      <c r="X93" s="9"/>
    </row>
    <row r="94" spans="22:24" x14ac:dyDescent="0.35">
      <c r="V94" s="9"/>
      <c r="W94" s="9"/>
      <c r="X94" s="9"/>
    </row>
    <row r="95" spans="22:24" x14ac:dyDescent="0.35">
      <c r="V95" s="9"/>
      <c r="W95" s="9"/>
      <c r="X95" s="9"/>
    </row>
    <row r="96" spans="22:24" x14ac:dyDescent="0.35">
      <c r="V96" s="9"/>
      <c r="W96" s="9"/>
      <c r="X96" s="9"/>
    </row>
    <row r="97" spans="22:24" x14ac:dyDescent="0.35">
      <c r="V97" s="9"/>
      <c r="W97" s="9"/>
      <c r="X97" s="9"/>
    </row>
    <row r="98" spans="22:24" x14ac:dyDescent="0.35">
      <c r="V98" s="9"/>
      <c r="W98" s="9"/>
      <c r="X98" s="9"/>
    </row>
    <row r="99" spans="22:24" x14ac:dyDescent="0.35">
      <c r="V99" s="9"/>
      <c r="W99" s="9"/>
      <c r="X99" s="9"/>
    </row>
    <row r="100" spans="22:24" x14ac:dyDescent="0.35">
      <c r="V100" s="9"/>
      <c r="W100" s="9"/>
      <c r="X100" s="9"/>
    </row>
    <row r="101" spans="22:24" x14ac:dyDescent="0.35">
      <c r="V101" s="9"/>
      <c r="W101" s="9"/>
      <c r="X101" s="9"/>
    </row>
    <row r="102" spans="22:24" x14ac:dyDescent="0.35">
      <c r="V102" s="9"/>
      <c r="W102" s="9"/>
      <c r="X102" s="9"/>
    </row>
    <row r="103" spans="22:24" x14ac:dyDescent="0.35">
      <c r="V103" s="9"/>
      <c r="W103" s="9"/>
      <c r="X103" s="9"/>
    </row>
    <row r="104" spans="22:24" x14ac:dyDescent="0.35">
      <c r="V104" s="9"/>
      <c r="W104" s="9"/>
      <c r="X104" s="9"/>
    </row>
    <row r="105" spans="22:24" x14ac:dyDescent="0.35">
      <c r="V105" s="9"/>
      <c r="W105" s="9"/>
      <c r="X105" s="9"/>
    </row>
    <row r="106" spans="22:24" x14ac:dyDescent="0.35">
      <c r="V106" s="9"/>
      <c r="W106" s="9"/>
      <c r="X106" s="9"/>
    </row>
    <row r="107" spans="22:24" x14ac:dyDescent="0.35">
      <c r="V107" s="9"/>
      <c r="W107" s="9"/>
      <c r="X107" s="9"/>
    </row>
    <row r="108" spans="22:24" x14ac:dyDescent="0.35">
      <c r="V108" s="9"/>
      <c r="W108" s="9"/>
      <c r="X108" s="9"/>
    </row>
    <row r="109" spans="22:24" x14ac:dyDescent="0.35">
      <c r="V109" s="9"/>
      <c r="W109" s="9"/>
      <c r="X109" s="9"/>
    </row>
    <row r="110" spans="22:24" x14ac:dyDescent="0.35">
      <c r="V110" s="9"/>
      <c r="W110" s="9"/>
      <c r="X110" s="9"/>
    </row>
    <row r="111" spans="22:24" x14ac:dyDescent="0.35">
      <c r="V111" s="9"/>
      <c r="W111" s="9"/>
      <c r="X111" s="9"/>
    </row>
    <row r="112" spans="22:24" x14ac:dyDescent="0.35">
      <c r="V112" s="9"/>
      <c r="W112" s="9"/>
      <c r="X112" s="9"/>
    </row>
    <row r="113" spans="22:24" x14ac:dyDescent="0.35">
      <c r="V113" s="9"/>
      <c r="W113" s="9"/>
      <c r="X113" s="9"/>
    </row>
    <row r="114" spans="22:24" x14ac:dyDescent="0.35">
      <c r="V114" s="9"/>
      <c r="W114" s="9"/>
      <c r="X114" s="9"/>
    </row>
    <row r="115" spans="22:24" x14ac:dyDescent="0.35">
      <c r="V115" s="9"/>
      <c r="W115" s="9"/>
      <c r="X115" s="9"/>
    </row>
    <row r="116" spans="22:24" x14ac:dyDescent="0.35">
      <c r="V116" s="9"/>
      <c r="W116" s="9"/>
      <c r="X116" s="9"/>
    </row>
    <row r="117" spans="22:24" x14ac:dyDescent="0.35">
      <c r="V117" s="9"/>
      <c r="W117" s="9"/>
      <c r="X117" s="9"/>
    </row>
    <row r="118" spans="22:24" x14ac:dyDescent="0.35">
      <c r="V118" s="9"/>
      <c r="W118" s="9"/>
      <c r="X118" s="9"/>
    </row>
    <row r="119" spans="22:24" x14ac:dyDescent="0.35">
      <c r="V119" s="9"/>
      <c r="W119" s="9"/>
      <c r="X119" s="9"/>
    </row>
    <row r="120" spans="22:24" x14ac:dyDescent="0.35">
      <c r="V120" s="9"/>
      <c r="W120" s="9"/>
      <c r="X120" s="9"/>
    </row>
    <row r="121" spans="22:24" x14ac:dyDescent="0.35">
      <c r="V121" s="9"/>
      <c r="W121" s="9"/>
      <c r="X121" s="9"/>
    </row>
    <row r="122" spans="22:24" x14ac:dyDescent="0.35">
      <c r="V122" s="9"/>
      <c r="W122" s="9"/>
      <c r="X122" s="9"/>
    </row>
    <row r="123" spans="22:24" x14ac:dyDescent="0.35">
      <c r="V123" s="9"/>
      <c r="W123" s="9"/>
      <c r="X123" s="9"/>
    </row>
    <row r="124" spans="22:24" x14ac:dyDescent="0.35">
      <c r="V124" s="9"/>
      <c r="W124" s="9"/>
      <c r="X124" s="9"/>
    </row>
    <row r="125" spans="22:24" x14ac:dyDescent="0.35">
      <c r="V125" s="9"/>
      <c r="W125" s="9"/>
      <c r="X125" s="9"/>
    </row>
    <row r="126" spans="22:24" x14ac:dyDescent="0.35">
      <c r="V126" s="9"/>
      <c r="W126" s="9"/>
      <c r="X126" s="9"/>
    </row>
    <row r="127" spans="22:24" x14ac:dyDescent="0.35">
      <c r="V127" s="9"/>
      <c r="W127" s="9"/>
      <c r="X127" s="9"/>
    </row>
    <row r="128" spans="22:24" x14ac:dyDescent="0.35">
      <c r="V128" s="9"/>
      <c r="W128" s="9"/>
      <c r="X128" s="9"/>
    </row>
    <row r="129" spans="22:24" x14ac:dyDescent="0.35">
      <c r="V129" s="9"/>
      <c r="W129" s="9"/>
      <c r="X129" s="9"/>
    </row>
    <row r="130" spans="22:24" x14ac:dyDescent="0.35">
      <c r="V130" s="9"/>
      <c r="W130" s="9"/>
      <c r="X130" s="9"/>
    </row>
    <row r="131" spans="22:24" x14ac:dyDescent="0.35">
      <c r="V131" s="9"/>
      <c r="W131" s="9"/>
      <c r="X131" s="9"/>
    </row>
    <row r="132" spans="22:24" x14ac:dyDescent="0.35">
      <c r="V132" s="9"/>
      <c r="W132" s="9"/>
      <c r="X132" s="9"/>
    </row>
    <row r="133" spans="22:24" x14ac:dyDescent="0.35">
      <c r="V133" s="9"/>
      <c r="W133" s="9"/>
      <c r="X133" s="9"/>
    </row>
    <row r="134" spans="22:24" x14ac:dyDescent="0.35">
      <c r="V134" s="9"/>
      <c r="W134" s="9"/>
      <c r="X134" s="9"/>
    </row>
    <row r="135" spans="22:24" x14ac:dyDescent="0.35">
      <c r="V135" s="9"/>
      <c r="W135" s="9"/>
      <c r="X135" s="9"/>
    </row>
    <row r="136" spans="22:24" x14ac:dyDescent="0.35">
      <c r="V136" s="9"/>
      <c r="W136" s="9"/>
      <c r="X136" s="9"/>
    </row>
    <row r="137" spans="22:24" x14ac:dyDescent="0.35">
      <c r="V137" s="9"/>
      <c r="W137" s="9"/>
      <c r="X137" s="9"/>
    </row>
    <row r="138" spans="22:24" x14ac:dyDescent="0.35">
      <c r="V138" s="9"/>
      <c r="W138" s="9"/>
      <c r="X138" s="9"/>
    </row>
    <row r="139" spans="22:24" x14ac:dyDescent="0.35">
      <c r="V139" s="9"/>
      <c r="W139" s="9"/>
      <c r="X139" s="9"/>
    </row>
    <row r="140" spans="22:24" x14ac:dyDescent="0.35">
      <c r="V140" s="9"/>
      <c r="W140" s="9"/>
      <c r="X140" s="9"/>
    </row>
    <row r="141" spans="22:24" x14ac:dyDescent="0.35">
      <c r="V141" s="9"/>
      <c r="W141" s="9"/>
      <c r="X141" s="9"/>
    </row>
    <row r="142" spans="22:24" x14ac:dyDescent="0.35">
      <c r="V142" s="9"/>
      <c r="W142" s="9"/>
      <c r="X142" s="9"/>
    </row>
    <row r="143" spans="22:24" x14ac:dyDescent="0.35">
      <c r="V143" s="9"/>
      <c r="W143" s="9"/>
      <c r="X143" s="9"/>
    </row>
    <row r="144" spans="22:24" x14ac:dyDescent="0.35">
      <c r="V144" s="9"/>
      <c r="W144" s="9"/>
      <c r="X144" s="9"/>
    </row>
    <row r="145" spans="22:24" x14ac:dyDescent="0.35">
      <c r="V145" s="9"/>
      <c r="W145" s="9"/>
      <c r="X145" s="9"/>
    </row>
    <row r="146" spans="22:24" x14ac:dyDescent="0.35">
      <c r="V146" s="9"/>
      <c r="W146" s="9"/>
      <c r="X146" s="9"/>
    </row>
    <row r="147" spans="22:24" x14ac:dyDescent="0.35">
      <c r="V147" s="9"/>
      <c r="W147" s="9"/>
      <c r="X147" s="9"/>
    </row>
    <row r="148" spans="22:24" x14ac:dyDescent="0.35">
      <c r="V148" s="9"/>
      <c r="W148" s="9"/>
      <c r="X148" s="9"/>
    </row>
    <row r="149" spans="22:24" x14ac:dyDescent="0.35">
      <c r="V149" s="9"/>
      <c r="W149" s="9"/>
      <c r="X149" s="9"/>
    </row>
    <row r="150" spans="22:24" x14ac:dyDescent="0.35">
      <c r="V150" s="9"/>
      <c r="W150" s="9"/>
      <c r="X150" s="9"/>
    </row>
    <row r="151" spans="22:24" x14ac:dyDescent="0.35">
      <c r="V151" s="9"/>
      <c r="W151" s="9"/>
      <c r="X151" s="9"/>
    </row>
    <row r="152" spans="22:24" x14ac:dyDescent="0.35">
      <c r="V152" s="9"/>
      <c r="W152" s="9"/>
      <c r="X152" s="9"/>
    </row>
    <row r="153" spans="22:24" x14ac:dyDescent="0.35">
      <c r="V153" s="9"/>
      <c r="W153" s="9"/>
      <c r="X153" s="9"/>
    </row>
    <row r="154" spans="22:24" x14ac:dyDescent="0.35">
      <c r="V154" s="9"/>
      <c r="W154" s="9"/>
      <c r="X154" s="9"/>
    </row>
    <row r="155" spans="22:24" x14ac:dyDescent="0.35">
      <c r="V155" s="9"/>
      <c r="W155" s="9"/>
      <c r="X155" s="9"/>
    </row>
    <row r="156" spans="22:24" x14ac:dyDescent="0.35">
      <c r="V156" s="9"/>
      <c r="W156" s="9"/>
      <c r="X156" s="9"/>
    </row>
    <row r="157" spans="22:24" x14ac:dyDescent="0.35">
      <c r="V157" s="9"/>
      <c r="W157" s="9"/>
      <c r="X157" s="9"/>
    </row>
    <row r="158" spans="22:24" x14ac:dyDescent="0.35">
      <c r="V158" s="9"/>
      <c r="W158" s="9"/>
      <c r="X158" s="9"/>
    </row>
    <row r="159" spans="22:24" x14ac:dyDescent="0.35">
      <c r="V159" s="9"/>
      <c r="W159" s="9"/>
      <c r="X159" s="9"/>
    </row>
    <row r="160" spans="22:24" x14ac:dyDescent="0.35">
      <c r="V160" s="9"/>
      <c r="W160" s="9"/>
      <c r="X160" s="9"/>
    </row>
    <row r="161" spans="22:24" x14ac:dyDescent="0.35">
      <c r="V161" s="9"/>
      <c r="W161" s="9"/>
      <c r="X161" s="9"/>
    </row>
    <row r="162" spans="22:24" x14ac:dyDescent="0.35">
      <c r="V162" s="9"/>
      <c r="W162" s="9"/>
      <c r="X162" s="9"/>
    </row>
  </sheetData>
  <mergeCells count="7">
    <mergeCell ref="Z1:AE1"/>
    <mergeCell ref="AF1:AK1"/>
    <mergeCell ref="A1:A2"/>
    <mergeCell ref="B1:G1"/>
    <mergeCell ref="H1:M1"/>
    <mergeCell ref="N1:S1"/>
    <mergeCell ref="T1:Y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9ED8C-8797-415B-9D6A-C01ABD81F4A0}">
  <dimension ref="A1:AK92"/>
  <sheetViews>
    <sheetView zoomScale="96" zoomScaleNormal="96" workbookViewId="0">
      <selection activeCell="G10" sqref="G10"/>
    </sheetView>
  </sheetViews>
  <sheetFormatPr defaultRowHeight="14.5" x14ac:dyDescent="0.35"/>
  <sheetData>
    <row r="1" spans="1:37" x14ac:dyDescent="0.35">
      <c r="A1" s="62" t="s">
        <v>0</v>
      </c>
      <c r="B1" s="63" t="s">
        <v>3</v>
      </c>
      <c r="C1" s="63"/>
      <c r="D1" s="63"/>
      <c r="E1" s="63"/>
      <c r="F1" s="63"/>
      <c r="G1" s="64"/>
      <c r="H1" s="65" t="s">
        <v>4</v>
      </c>
      <c r="I1" s="66"/>
      <c r="J1" s="66"/>
      <c r="K1" s="66"/>
      <c r="L1" s="66"/>
      <c r="M1" s="67"/>
      <c r="N1" s="68" t="s">
        <v>5</v>
      </c>
      <c r="O1" s="69"/>
      <c r="P1" s="69"/>
      <c r="Q1" s="69"/>
      <c r="R1" s="69"/>
      <c r="S1" s="70"/>
      <c r="T1" s="71" t="s">
        <v>6</v>
      </c>
      <c r="U1" s="71"/>
      <c r="V1" s="71"/>
      <c r="W1" s="71"/>
      <c r="X1" s="71"/>
      <c r="Y1" s="72"/>
      <c r="Z1" s="56" t="s">
        <v>7</v>
      </c>
      <c r="AA1" s="57"/>
      <c r="AB1" s="57"/>
      <c r="AC1" s="57"/>
      <c r="AD1" s="57"/>
      <c r="AE1" s="58"/>
      <c r="AF1" s="59" t="s">
        <v>8</v>
      </c>
      <c r="AG1" s="60"/>
      <c r="AH1" s="60"/>
      <c r="AI1" s="60"/>
      <c r="AJ1" s="60"/>
      <c r="AK1" s="61"/>
    </row>
    <row r="2" spans="1:37" x14ac:dyDescent="0.35">
      <c r="A2" s="62"/>
      <c r="B2" s="1">
        <v>1</v>
      </c>
      <c r="C2" s="1">
        <v>2</v>
      </c>
      <c r="D2" s="2">
        <v>0.01</v>
      </c>
      <c r="E2" s="2">
        <v>0.02</v>
      </c>
      <c r="F2" s="3" t="s">
        <v>1</v>
      </c>
      <c r="G2" s="3" t="s">
        <v>2</v>
      </c>
      <c r="H2" s="1">
        <v>1</v>
      </c>
      <c r="I2" s="1">
        <v>2</v>
      </c>
      <c r="J2" s="2">
        <v>0.01</v>
      </c>
      <c r="K2" s="2">
        <v>0.02</v>
      </c>
      <c r="L2" s="4" t="s">
        <v>1</v>
      </c>
      <c r="M2" s="4" t="s">
        <v>2</v>
      </c>
      <c r="N2" s="1">
        <v>1</v>
      </c>
      <c r="O2" s="1">
        <v>2</v>
      </c>
      <c r="P2" s="2">
        <v>0.01</v>
      </c>
      <c r="Q2" s="2">
        <v>0.02</v>
      </c>
      <c r="R2" s="5" t="s">
        <v>1</v>
      </c>
      <c r="S2" s="5" t="s">
        <v>2</v>
      </c>
      <c r="T2" s="1">
        <v>1</v>
      </c>
      <c r="U2" s="1">
        <v>2</v>
      </c>
      <c r="V2" s="2">
        <v>0.01</v>
      </c>
      <c r="W2" s="2">
        <v>0.02</v>
      </c>
      <c r="X2" s="6" t="s">
        <v>1</v>
      </c>
      <c r="Y2" s="6" t="s">
        <v>2</v>
      </c>
      <c r="Z2" s="1">
        <v>1</v>
      </c>
      <c r="AA2" s="1">
        <v>2</v>
      </c>
      <c r="AB2" s="2">
        <v>0.01</v>
      </c>
      <c r="AC2" s="2">
        <v>0.02</v>
      </c>
      <c r="AD2" s="7" t="s">
        <v>1</v>
      </c>
      <c r="AE2" s="7" t="s">
        <v>2</v>
      </c>
      <c r="AF2" s="1">
        <v>1</v>
      </c>
      <c r="AG2" s="1">
        <v>2</v>
      </c>
      <c r="AH2" s="2">
        <v>0.01</v>
      </c>
      <c r="AI2" s="2">
        <v>0.02</v>
      </c>
      <c r="AJ2" s="8" t="s">
        <v>1</v>
      </c>
      <c r="AK2" s="8" t="s">
        <v>2</v>
      </c>
    </row>
    <row r="3" spans="1:37" x14ac:dyDescent="0.35">
      <c r="A3">
        <v>0</v>
      </c>
      <c r="B3" s="35">
        <v>398.87608098959879</v>
      </c>
      <c r="C3" s="35">
        <v>393.22936602053738</v>
      </c>
      <c r="D3" s="35">
        <f>(B3/398.88)</f>
        <v>0.99999017496389586</v>
      </c>
      <c r="E3" s="35">
        <f>(C3/393.23)</f>
        <v>0.99999838776425343</v>
      </c>
      <c r="F3" s="36">
        <f>AVERAGE(D3:E3)</f>
        <v>0.99999428136407464</v>
      </c>
      <c r="G3" s="36">
        <f>STDEV(D3:E3)</f>
        <v>5.8073268253658264E-6</v>
      </c>
      <c r="H3" s="35">
        <v>400.06143837428311</v>
      </c>
      <c r="I3" s="35">
        <v>406.6350209489658</v>
      </c>
      <c r="J3" s="35">
        <f>(H3/400.06)</f>
        <v>1.0000035953963984</v>
      </c>
      <c r="K3" s="35">
        <f>(I3/406.64)</f>
        <v>0.99998775562897357</v>
      </c>
      <c r="L3" s="37">
        <f>AVERAGE(J3:K3)</f>
        <v>0.99999567551268598</v>
      </c>
      <c r="M3" s="37">
        <f>STDEV(J3:K3)</f>
        <v>1.1200406958499414E-5</v>
      </c>
      <c r="N3" s="35">
        <v>386.13259292979541</v>
      </c>
      <c r="O3" s="35">
        <v>400.1264804462773</v>
      </c>
      <c r="P3" s="35">
        <f>(N3/386.13)</f>
        <v>1.0000067151731162</v>
      </c>
      <c r="Q3" s="35">
        <f>(O3/400.13)</f>
        <v>0.99999120397440155</v>
      </c>
      <c r="R3" s="38">
        <f>AVERAGE(P3:Q3)</f>
        <v>0.99999895957375884</v>
      </c>
      <c r="S3" s="38">
        <f>STDEV(P3:Q3)</f>
        <v>1.0968073795481885E-5</v>
      </c>
      <c r="T3" s="35">
        <v>413.16871285170487</v>
      </c>
      <c r="U3" s="35">
        <v>415.73853901558368</v>
      </c>
      <c r="V3" s="35">
        <f>(T3/413.17)</f>
        <v>0.99999688470049819</v>
      </c>
      <c r="W3" s="35">
        <f>(U3/415.74)</f>
        <v>0.99999648582186862</v>
      </c>
      <c r="X3" s="39">
        <f>AVERAGE(V3:W3)</f>
        <v>0.99999668526118346</v>
      </c>
      <c r="Y3" s="39">
        <f>STDEV(V3:W3)</f>
        <v>2.8204978383973546E-7</v>
      </c>
      <c r="Z3" s="35">
        <v>387.95499624675159</v>
      </c>
      <c r="AA3" s="35">
        <v>393.10285711240948</v>
      </c>
      <c r="AB3" s="35">
        <f>(Z3/387.95)</f>
        <v>1.0000128785842288</v>
      </c>
      <c r="AC3" s="35">
        <f>(AA3/393.1)</f>
        <v>1.0000072681567271</v>
      </c>
      <c r="AD3" s="40">
        <f>AVERAGE(AB3:AC3)</f>
        <v>1.000010073370478</v>
      </c>
      <c r="AE3" s="40">
        <f>STDEV(AB3:AC3)</f>
        <v>3.9671713318004573E-6</v>
      </c>
      <c r="AF3" s="35">
        <v>366.97544233140798</v>
      </c>
      <c r="AG3" s="35">
        <v>371.56550914887703</v>
      </c>
      <c r="AH3" s="35">
        <f>(AF3/366.98)</f>
        <v>0.99998758060768422</v>
      </c>
      <c r="AI3" s="35">
        <f>(AG3/371.57)</f>
        <v>0.99998791384901109</v>
      </c>
      <c r="AJ3" s="41">
        <f>AVERAGE(AH3:AI3)</f>
        <v>0.9999877472283476</v>
      </c>
      <c r="AK3" s="41">
        <f>STDEV(AH3:AI3)</f>
        <v>2.3563720199883917E-7</v>
      </c>
    </row>
    <row r="4" spans="1:37" x14ac:dyDescent="0.35">
      <c r="A4">
        <v>17</v>
      </c>
      <c r="B4" s="35">
        <v>353.77928192477606</v>
      </c>
      <c r="C4" s="35">
        <v>348.89476347142147</v>
      </c>
      <c r="D4" s="35">
        <f t="shared" ref="D4:D15" si="0">(B4/398.88)</f>
        <v>0.88693161332926207</v>
      </c>
      <c r="E4" s="35">
        <f t="shared" ref="E4:E15" si="1">(C4/393.23)</f>
        <v>0.88725367716456383</v>
      </c>
      <c r="F4" s="36">
        <f t="shared" ref="F4:F14" si="2">AVERAGE(D4:E4)</f>
        <v>0.887092645246913</v>
      </c>
      <c r="G4" s="36">
        <f t="shared" ref="G4:G14" si="3">STDEV(D4:E4)</f>
        <v>2.2773352191681888E-4</v>
      </c>
      <c r="H4" s="35">
        <v>348.29308411083377</v>
      </c>
      <c r="I4" s="35">
        <v>355.00074094307723</v>
      </c>
      <c r="J4" s="35">
        <f t="shared" ref="J4:J15" si="4">(H4/400.06)</f>
        <v>0.87060211995909054</v>
      </c>
      <c r="K4" s="35">
        <f t="shared" ref="K4:K15" si="5">(I4/406.64)</f>
        <v>0.87300988821335146</v>
      </c>
      <c r="L4" s="37">
        <f t="shared" ref="L4:L14" si="6">AVERAGE(J4:K4)</f>
        <v>0.871806004086221</v>
      </c>
      <c r="M4" s="37">
        <f t="shared" ref="M4:M14" si="7">STDEV(J4:K4)</f>
        <v>1.7025492601135937E-3</v>
      </c>
      <c r="N4" s="35">
        <v>342.5556405327668</v>
      </c>
      <c r="O4" s="35">
        <v>340.20572671739649</v>
      </c>
      <c r="P4" s="35">
        <f t="shared" ref="P4:P15" si="8">(N4/386.13)</f>
        <v>0.88715106449321934</v>
      </c>
      <c r="Q4" s="35">
        <f t="shared" ref="Q4:Q15" si="9">(O4/400.13)</f>
        <v>0.85023798944692097</v>
      </c>
      <c r="R4" s="38">
        <f t="shared" ref="R4" si="10">AVERAGE(P4:Q4)</f>
        <v>0.8686945269700701</v>
      </c>
      <c r="S4" s="38">
        <f t="shared" ref="S4:S14" si="11">STDEV(P4:Q4)</f>
        <v>2.610148567968551E-2</v>
      </c>
      <c r="T4" s="35">
        <v>339.99551611033672</v>
      </c>
      <c r="U4" s="35">
        <v>348.93221099935539</v>
      </c>
      <c r="V4" s="35">
        <f t="shared" ref="V4:V15" si="12">(T4/413.17)</f>
        <v>0.8228949732805787</v>
      </c>
      <c r="W4" s="35">
        <f t="shared" ref="W4:W15" si="13">(U4/415.74)</f>
        <v>0.83930391831278051</v>
      </c>
      <c r="X4" s="39">
        <f t="shared" ref="X4" si="14">AVERAGE(V4:W4)</f>
        <v>0.8310994457966796</v>
      </c>
      <c r="Y4" s="39">
        <f t="shared" ref="Y4:Y14" si="15">STDEV(V4:W4)</f>
        <v>1.1602876304387208E-2</v>
      </c>
      <c r="Z4" s="35">
        <v>340.22973081230032</v>
      </c>
      <c r="AA4" s="35">
        <v>342.70582678388638</v>
      </c>
      <c r="AB4" s="35">
        <f t="shared" ref="AB4:AB15" si="16">(Z4/387.95)</f>
        <v>0.87699376417657005</v>
      </c>
      <c r="AC4" s="35">
        <f t="shared" ref="AC4:AC15" si="17">(AA4/393.1)</f>
        <v>0.87180317167104138</v>
      </c>
      <c r="AD4" s="40">
        <f t="shared" ref="AD4" si="18">AVERAGE(AB4:AC4)</f>
        <v>0.87439846792380571</v>
      </c>
      <c r="AE4" s="40">
        <f t="shared" ref="AE4:AE14" si="19">STDEV(AB4:AC4)</f>
        <v>3.6703031590353936E-3</v>
      </c>
      <c r="AF4" s="35">
        <v>338.64942654358231</v>
      </c>
      <c r="AG4" s="35">
        <v>329.73103896383094</v>
      </c>
      <c r="AH4" s="35">
        <f t="shared" ref="AH4:AH15" si="20">(AF4/366.98)</f>
        <v>0.92280076991547844</v>
      </c>
      <c r="AI4" s="35">
        <f t="shared" ref="AI4:AI15" si="21">(AG4/371.57)</f>
        <v>0.88739951816301355</v>
      </c>
      <c r="AJ4" s="41">
        <f t="shared" ref="AJ4" si="22">AVERAGE(AH4:AI4)</f>
        <v>0.90510014403924599</v>
      </c>
      <c r="AK4" s="41">
        <f t="shared" ref="AK4:AK13" si="23">STDEV(AH4:AI4)</f>
        <v>2.5032465176660072E-2</v>
      </c>
    </row>
    <row r="5" spans="1:37" x14ac:dyDescent="0.35">
      <c r="A5">
        <v>41</v>
      </c>
      <c r="B5" s="35">
        <v>335.94719297989843</v>
      </c>
      <c r="C5" s="35">
        <v>344.91446959929175</v>
      </c>
      <c r="D5" s="35">
        <f t="shared" si="0"/>
        <v>0.84222621585413771</v>
      </c>
      <c r="E5" s="35">
        <f t="shared" si="1"/>
        <v>0.87713162678150636</v>
      </c>
      <c r="F5" s="36">
        <f t="shared" si="2"/>
        <v>0.85967892131782198</v>
      </c>
      <c r="G5" s="36">
        <f t="shared" si="3"/>
        <v>2.468185276684539E-2</v>
      </c>
      <c r="H5" s="35">
        <v>339.36238786150625</v>
      </c>
      <c r="I5" s="35">
        <v>342.52263532435023</v>
      </c>
      <c r="J5" s="35">
        <f t="shared" si="4"/>
        <v>0.84827872784458891</v>
      </c>
      <c r="K5" s="35">
        <f t="shared" si="5"/>
        <v>0.84232400974904154</v>
      </c>
      <c r="L5" s="37">
        <f>AVERAGE(J5:K5)</f>
        <v>0.84530136879681517</v>
      </c>
      <c r="M5" s="37">
        <f t="shared" si="7"/>
        <v>4.2106215454157919E-3</v>
      </c>
      <c r="N5" s="35">
        <v>345.29544923054249</v>
      </c>
      <c r="O5" s="35">
        <v>341.31973700945758</v>
      </c>
      <c r="P5" s="35">
        <f t="shared" si="8"/>
        <v>0.8942466247909836</v>
      </c>
      <c r="Q5" s="35">
        <f t="shared" si="9"/>
        <v>0.85302211033778419</v>
      </c>
      <c r="R5" s="38">
        <f>AVERAGE(P5:Q5)</f>
        <v>0.87363436756438384</v>
      </c>
      <c r="S5" s="38">
        <f t="shared" si="11"/>
        <v>2.9150133720980142E-2</v>
      </c>
      <c r="T5" s="35">
        <v>336.62509484918792</v>
      </c>
      <c r="U5" s="35">
        <v>343.13855314255011</v>
      </c>
      <c r="V5" s="35">
        <f t="shared" si="12"/>
        <v>0.81473750477814921</v>
      </c>
      <c r="W5" s="35">
        <f t="shared" si="13"/>
        <v>0.82536814629949029</v>
      </c>
      <c r="X5" s="39">
        <f>AVERAGE(V5:W5)</f>
        <v>0.82005282553881975</v>
      </c>
      <c r="Y5" s="39">
        <f t="shared" si="15"/>
        <v>7.5169987081035519E-3</v>
      </c>
      <c r="Z5" s="35">
        <v>340.30772192231257</v>
      </c>
      <c r="AA5" s="35">
        <v>339.00730192783078</v>
      </c>
      <c r="AB5" s="35">
        <f t="shared" si="16"/>
        <v>0.87719479809849876</v>
      </c>
      <c r="AC5" s="35">
        <f t="shared" si="17"/>
        <v>0.86239456099677125</v>
      </c>
      <c r="AD5" s="40">
        <f>AVERAGE(AB5:AC5)</f>
        <v>0.86979467954763501</v>
      </c>
      <c r="AE5" s="40">
        <f t="shared" si="19"/>
        <v>1.0465348017800255E-2</v>
      </c>
      <c r="AF5" s="35">
        <v>337.61310046111726</v>
      </c>
      <c r="AG5" s="35">
        <v>337.5944012425046</v>
      </c>
      <c r="AH5" s="35">
        <f t="shared" si="20"/>
        <v>0.91997683923134022</v>
      </c>
      <c r="AI5" s="35">
        <f t="shared" si="21"/>
        <v>0.90856205087198805</v>
      </c>
      <c r="AJ5" s="41">
        <f>AVERAGE(AH5:AI5)</f>
        <v>0.91426944505166419</v>
      </c>
      <c r="AK5" s="41">
        <f t="shared" si="23"/>
        <v>8.0714742547071845E-3</v>
      </c>
    </row>
    <row r="6" spans="1:37" x14ac:dyDescent="0.35">
      <c r="A6">
        <v>65</v>
      </c>
      <c r="B6" s="35">
        <v>321.63455752602874</v>
      </c>
      <c r="C6" s="35">
        <v>330.75636891310273</v>
      </c>
      <c r="D6" s="35">
        <f t="shared" si="0"/>
        <v>0.80634415745594856</v>
      </c>
      <c r="E6" s="35">
        <f t="shared" si="1"/>
        <v>0.84112699670193702</v>
      </c>
      <c r="F6" s="36">
        <f t="shared" si="2"/>
        <v>0.82373557707894274</v>
      </c>
      <c r="G6" s="36">
        <f t="shared" si="3"/>
        <v>2.4595181499760022E-2</v>
      </c>
      <c r="H6" s="35">
        <v>331.35453730472875</v>
      </c>
      <c r="I6" s="35">
        <v>333.97649776401084</v>
      </c>
      <c r="J6" s="35">
        <f t="shared" si="4"/>
        <v>0.8282621039462299</v>
      </c>
      <c r="K6" s="35">
        <f t="shared" si="5"/>
        <v>0.82130753925833877</v>
      </c>
      <c r="L6" s="37">
        <f t="shared" si="6"/>
        <v>0.82478482160228439</v>
      </c>
      <c r="M6" s="37">
        <f t="shared" si="7"/>
        <v>4.9176198510083226E-3</v>
      </c>
      <c r="N6" s="35">
        <v>322.77430303764811</v>
      </c>
      <c r="O6" s="35">
        <v>327.0087793966012</v>
      </c>
      <c r="P6" s="35">
        <f t="shared" si="8"/>
        <v>0.83592132970152055</v>
      </c>
      <c r="Q6" s="35">
        <f t="shared" si="9"/>
        <v>0.81725634018094417</v>
      </c>
      <c r="R6" s="38">
        <f t="shared" ref="R6:R14" si="24">AVERAGE(P6:Q6)</f>
        <v>0.82658883494123236</v>
      </c>
      <c r="S6" s="38">
        <f t="shared" si="11"/>
        <v>1.3198140660775405E-2</v>
      </c>
      <c r="T6" s="35">
        <v>337.5695148877536</v>
      </c>
      <c r="U6" s="35">
        <v>330.5422047414865</v>
      </c>
      <c r="V6" s="35">
        <f t="shared" si="12"/>
        <v>0.81702329522412953</v>
      </c>
      <c r="W6" s="35">
        <f t="shared" si="13"/>
        <v>0.79506952600540359</v>
      </c>
      <c r="X6" s="39">
        <f t="shared" ref="X6:X14" si="25">AVERAGE(V6:W6)</f>
        <v>0.80604641061476656</v>
      </c>
      <c r="Y6" s="39">
        <f t="shared" si="15"/>
        <v>1.5523659087165605E-2</v>
      </c>
      <c r="Z6" s="35">
        <v>336.29757295876965</v>
      </c>
      <c r="AA6" s="35">
        <v>340.02719267854002</v>
      </c>
      <c r="AB6" s="35">
        <f t="shared" si="16"/>
        <v>0.86685803056777844</v>
      </c>
      <c r="AC6" s="35">
        <f t="shared" si="17"/>
        <v>0.86498904268262533</v>
      </c>
      <c r="AD6" s="40">
        <f t="shared" ref="AD6:AD14" si="26">AVERAGE(AB6:AC6)</f>
        <v>0.86592353662520183</v>
      </c>
      <c r="AE6" s="40">
        <f t="shared" si="19"/>
        <v>1.3215740075472656E-3</v>
      </c>
      <c r="AF6" s="35">
        <v>334.14325507917039</v>
      </c>
      <c r="AG6" s="35">
        <v>334.22716520025654</v>
      </c>
      <c r="AH6" s="35">
        <f t="shared" si="20"/>
        <v>0.91052170439579916</v>
      </c>
      <c r="AI6" s="35">
        <f t="shared" si="21"/>
        <v>0.89949986597480025</v>
      </c>
      <c r="AJ6" s="41">
        <f t="shared" ref="AJ6:AJ13" si="27">AVERAGE(AH6:AI6)</f>
        <v>0.90501078518529976</v>
      </c>
      <c r="AK6" s="41">
        <f t="shared" si="23"/>
        <v>7.7936166886307572E-3</v>
      </c>
    </row>
    <row r="7" spans="1:37" x14ac:dyDescent="0.35">
      <c r="A7">
        <v>113</v>
      </c>
      <c r="B7" s="35">
        <v>318.34253635281351</v>
      </c>
      <c r="C7" s="35">
        <v>320.80054119235695</v>
      </c>
      <c r="D7" s="35">
        <f t="shared" si="0"/>
        <v>0.79809099566990949</v>
      </c>
      <c r="E7" s="35">
        <f t="shared" si="1"/>
        <v>0.81580891893384766</v>
      </c>
      <c r="F7" s="36">
        <f t="shared" si="2"/>
        <v>0.80694995730187857</v>
      </c>
      <c r="G7" s="36">
        <f t="shared" si="3"/>
        <v>1.252846368847357E-2</v>
      </c>
      <c r="H7" s="35">
        <v>319.70813490946642</v>
      </c>
      <c r="I7" s="35">
        <v>325.89176206395763</v>
      </c>
      <c r="J7" s="35">
        <f t="shared" si="4"/>
        <v>0.79915046470396045</v>
      </c>
      <c r="K7" s="35">
        <f t="shared" si="5"/>
        <v>0.80142573791057847</v>
      </c>
      <c r="L7" s="37">
        <f t="shared" si="6"/>
        <v>0.80028810130726946</v>
      </c>
      <c r="M7" s="37">
        <f t="shared" si="7"/>
        <v>1.6088611134516644E-3</v>
      </c>
      <c r="N7" s="35">
        <v>319.81703578935475</v>
      </c>
      <c r="O7" s="35">
        <v>323.13795961338599</v>
      </c>
      <c r="P7" s="35">
        <f t="shared" si="8"/>
        <v>0.82826259495339583</v>
      </c>
      <c r="Q7" s="35">
        <f t="shared" si="9"/>
        <v>0.80758243474217373</v>
      </c>
      <c r="R7" s="38">
        <f t="shared" si="24"/>
        <v>0.81792251484778478</v>
      </c>
      <c r="S7" s="38">
        <f t="shared" si="11"/>
        <v>1.462308152137937E-2</v>
      </c>
      <c r="T7" s="35">
        <v>335.2557405908176</v>
      </c>
      <c r="U7" s="35">
        <v>326.36753712568702</v>
      </c>
      <c r="V7" s="35">
        <f t="shared" si="12"/>
        <v>0.81142324125860443</v>
      </c>
      <c r="W7" s="35">
        <f t="shared" si="13"/>
        <v>0.78502799135442103</v>
      </c>
      <c r="X7" s="39">
        <f t="shared" si="25"/>
        <v>0.79822561630651268</v>
      </c>
      <c r="Y7" s="39">
        <f t="shared" si="15"/>
        <v>1.8664260198361652E-2</v>
      </c>
      <c r="Z7" s="35">
        <v>338.02736604175283</v>
      </c>
      <c r="AA7" s="35">
        <v>327.65843562987016</v>
      </c>
      <c r="AB7" s="35">
        <f t="shared" si="16"/>
        <v>0.87131683475126387</v>
      </c>
      <c r="AC7" s="35">
        <f t="shared" si="17"/>
        <v>0.83352438471093904</v>
      </c>
      <c r="AD7" s="40">
        <f t="shared" si="26"/>
        <v>0.85242060973110145</v>
      </c>
      <c r="AE7" s="40">
        <f t="shared" si="19"/>
        <v>2.6723297701167499E-2</v>
      </c>
      <c r="AF7" s="35">
        <v>320.12736994060839</v>
      </c>
      <c r="AG7" s="35">
        <v>321.37636938616799</v>
      </c>
      <c r="AH7" s="35">
        <f t="shared" si="20"/>
        <v>0.87232920033955086</v>
      </c>
      <c r="AI7" s="35">
        <f t="shared" si="21"/>
        <v>0.86491473850463707</v>
      </c>
      <c r="AJ7" s="41">
        <f t="shared" si="27"/>
        <v>0.86862196942209402</v>
      </c>
      <c r="AK7" s="41">
        <f t="shared" si="23"/>
        <v>5.2428162423163917E-3</v>
      </c>
    </row>
    <row r="8" spans="1:37" x14ac:dyDescent="0.35">
      <c r="A8">
        <v>161</v>
      </c>
      <c r="B8" s="35">
        <v>311.65792155261602</v>
      </c>
      <c r="C8" s="35">
        <v>314.31694167497</v>
      </c>
      <c r="D8" s="35">
        <f t="shared" si="0"/>
        <v>0.78133253497948263</v>
      </c>
      <c r="E8" s="35">
        <f t="shared" si="1"/>
        <v>0.79932085973849909</v>
      </c>
      <c r="F8" s="36">
        <f t="shared" si="2"/>
        <v>0.79032669735899086</v>
      </c>
      <c r="G8" s="36">
        <f t="shared" si="3"/>
        <v>1.2719666419286409E-2</v>
      </c>
      <c r="H8" s="35">
        <v>312.51931646513702</v>
      </c>
      <c r="I8" s="35">
        <v>320.71658427168597</v>
      </c>
      <c r="J8" s="35">
        <f t="shared" si="4"/>
        <v>0.78118111399574319</v>
      </c>
      <c r="K8" s="35">
        <f t="shared" si="5"/>
        <v>0.78869905634390614</v>
      </c>
      <c r="L8" s="37">
        <f t="shared" si="6"/>
        <v>0.78494008516982472</v>
      </c>
      <c r="M8" s="37">
        <f t="shared" si="7"/>
        <v>5.3159880149555331E-3</v>
      </c>
      <c r="N8" s="35">
        <v>316.77523405642501</v>
      </c>
      <c r="O8" s="35">
        <v>311.05172981719102</v>
      </c>
      <c r="P8" s="35">
        <f t="shared" si="8"/>
        <v>0.82038493268180412</v>
      </c>
      <c r="Q8" s="35">
        <f t="shared" si="9"/>
        <v>0.77737667712291258</v>
      </c>
      <c r="R8" s="38">
        <f t="shared" si="24"/>
        <v>0.79888080490235835</v>
      </c>
      <c r="S8" s="38">
        <f t="shared" si="11"/>
        <v>3.0411429152696238E-2</v>
      </c>
      <c r="T8" s="35">
        <v>328.74357809718998</v>
      </c>
      <c r="U8" s="35">
        <v>329.86600101275098</v>
      </c>
      <c r="V8" s="35">
        <f t="shared" si="12"/>
        <v>0.79566178110024921</v>
      </c>
      <c r="W8" s="35">
        <f t="shared" si="13"/>
        <v>0.7934430197064295</v>
      </c>
      <c r="X8" s="39">
        <f t="shared" si="25"/>
        <v>0.7945524004033393</v>
      </c>
      <c r="Y8" s="39">
        <f t="shared" si="15"/>
        <v>1.5689012274048347E-3</v>
      </c>
      <c r="Z8" s="35">
        <v>339.27279387999903</v>
      </c>
      <c r="AA8" s="35">
        <v>331.74449834574898</v>
      </c>
      <c r="AB8" s="35">
        <f t="shared" si="16"/>
        <v>0.87452711400953487</v>
      </c>
      <c r="AC8" s="35">
        <f t="shared" si="17"/>
        <v>0.84391884595713296</v>
      </c>
      <c r="AD8" s="40">
        <f t="shared" si="26"/>
        <v>0.85922297998333397</v>
      </c>
      <c r="AE8" s="40">
        <f t="shared" si="19"/>
        <v>2.1643313900228951E-2</v>
      </c>
      <c r="AF8" s="35">
        <v>317.15555714175701</v>
      </c>
      <c r="AG8" s="35">
        <v>318.74676046511001</v>
      </c>
      <c r="AH8" s="35">
        <f t="shared" si="20"/>
        <v>0.86423117647217018</v>
      </c>
      <c r="AI8" s="35">
        <f t="shared" si="21"/>
        <v>0.8578377168907878</v>
      </c>
      <c r="AJ8" s="41">
        <f t="shared" si="27"/>
        <v>0.86103444668147899</v>
      </c>
      <c r="AK8" s="41">
        <f t="shared" si="23"/>
        <v>4.5208586252375839E-3</v>
      </c>
    </row>
    <row r="9" spans="1:37" x14ac:dyDescent="0.35">
      <c r="A9">
        <v>233</v>
      </c>
      <c r="B9" s="35">
        <v>310.51345074922602</v>
      </c>
      <c r="C9" s="35">
        <v>314.617636327112</v>
      </c>
      <c r="D9" s="35">
        <f t="shared" si="0"/>
        <v>0.77846332418077124</v>
      </c>
      <c r="E9" s="35">
        <f t="shared" si="1"/>
        <v>0.8000855385578719</v>
      </c>
      <c r="F9" s="36">
        <f t="shared" si="2"/>
        <v>0.78927443136932163</v>
      </c>
      <c r="G9" s="36">
        <f t="shared" si="3"/>
        <v>1.5289214410317137E-2</v>
      </c>
      <c r="H9" s="35">
        <v>315.84982418029199</v>
      </c>
      <c r="I9" s="35">
        <v>312.13481199353402</v>
      </c>
      <c r="J9" s="35">
        <f t="shared" si="4"/>
        <v>0.78950613453055041</v>
      </c>
      <c r="K9" s="35">
        <f t="shared" si="5"/>
        <v>0.76759495375155917</v>
      </c>
      <c r="L9" s="37">
        <f t="shared" si="6"/>
        <v>0.77855054414105473</v>
      </c>
      <c r="M9" s="37">
        <f t="shared" si="7"/>
        <v>1.549354451262904E-2</v>
      </c>
      <c r="N9" s="35">
        <v>311.34330797433398</v>
      </c>
      <c r="O9" s="35">
        <v>312.52803733150898</v>
      </c>
      <c r="P9" s="35">
        <f t="shared" si="8"/>
        <v>0.80631732311484217</v>
      </c>
      <c r="Q9" s="35">
        <f t="shared" si="9"/>
        <v>0.78106624679856296</v>
      </c>
      <c r="R9" s="38">
        <f t="shared" si="24"/>
        <v>0.79369178495670256</v>
      </c>
      <c r="S9" s="38">
        <f t="shared" si="11"/>
        <v>1.7855207295500056E-2</v>
      </c>
      <c r="T9" s="35">
        <v>325.18576339348198</v>
      </c>
      <c r="U9" s="35">
        <v>326.053539565996</v>
      </c>
      <c r="V9" s="35">
        <f t="shared" si="12"/>
        <v>0.78705076214023761</v>
      </c>
      <c r="W9" s="35">
        <f t="shared" si="13"/>
        <v>0.7842727174820705</v>
      </c>
      <c r="X9" s="39">
        <f t="shared" si="25"/>
        <v>0.78566173981115406</v>
      </c>
      <c r="Y9" s="39">
        <f t="shared" si="15"/>
        <v>1.9643742162290291E-3</v>
      </c>
      <c r="Z9" s="35">
        <v>323.152067546534</v>
      </c>
      <c r="AA9" s="35">
        <v>324.94581736328502</v>
      </c>
      <c r="AB9" s="35">
        <f t="shared" si="16"/>
        <v>0.83297349541573396</v>
      </c>
      <c r="AC9" s="35">
        <f t="shared" si="17"/>
        <v>0.8266238040276902</v>
      </c>
      <c r="AD9" s="40">
        <f t="shared" si="26"/>
        <v>0.82979864972171202</v>
      </c>
      <c r="AE9" s="40">
        <f t="shared" si="19"/>
        <v>4.4899098389275605E-3</v>
      </c>
      <c r="AF9" s="35">
        <v>314.091690927115</v>
      </c>
      <c r="AG9" s="35">
        <v>312.98151302261601</v>
      </c>
      <c r="AH9" s="35">
        <f t="shared" si="20"/>
        <v>0.85588231218898847</v>
      </c>
      <c r="AI9" s="35">
        <f t="shared" si="21"/>
        <v>0.84232180483520203</v>
      </c>
      <c r="AJ9" s="41">
        <f t="shared" si="27"/>
        <v>0.84910205851209519</v>
      </c>
      <c r="AK9" s="41">
        <f t="shared" si="23"/>
        <v>9.5887267061924401E-3</v>
      </c>
    </row>
    <row r="10" spans="1:37" x14ac:dyDescent="0.35">
      <c r="A10">
        <v>305</v>
      </c>
      <c r="B10" s="35">
        <v>306.63775826283899</v>
      </c>
      <c r="C10" s="35">
        <v>305.96590983024703</v>
      </c>
      <c r="D10" s="35">
        <f t="shared" si="0"/>
        <v>0.76874688694053095</v>
      </c>
      <c r="E10" s="35">
        <f t="shared" si="1"/>
        <v>0.77808384362903904</v>
      </c>
      <c r="F10" s="36">
        <f t="shared" si="2"/>
        <v>0.77341536528478505</v>
      </c>
      <c r="G10" s="36">
        <f>STDEV(D10:E10)</f>
        <v>6.6022253900891621E-3</v>
      </c>
      <c r="H10" s="35">
        <v>316.37936308325698</v>
      </c>
      <c r="I10" s="35">
        <v>310.45435959797197</v>
      </c>
      <c r="J10" s="35">
        <f t="shared" si="4"/>
        <v>0.79082978324065634</v>
      </c>
      <c r="K10" s="35">
        <f t="shared" si="5"/>
        <v>0.76346242277683452</v>
      </c>
      <c r="L10" s="37">
        <f t="shared" si="6"/>
        <v>0.77714610300874543</v>
      </c>
      <c r="M10" s="37">
        <f t="shared" si="7"/>
        <v>1.9351646167145027E-2</v>
      </c>
      <c r="N10" s="35">
        <v>311.18349492770102</v>
      </c>
      <c r="O10" s="35">
        <v>316.11758993320302</v>
      </c>
      <c r="P10" s="35">
        <f t="shared" si="8"/>
        <v>0.80590343906896911</v>
      </c>
      <c r="Q10" s="35">
        <f t="shared" si="9"/>
        <v>0.7900372127388674</v>
      </c>
      <c r="R10" s="38">
        <f t="shared" si="24"/>
        <v>0.79797032590391825</v>
      </c>
      <c r="S10" s="38">
        <f t="shared" si="11"/>
        <v>1.1219116229855466E-2</v>
      </c>
      <c r="T10" s="35">
        <v>321.01461257954702</v>
      </c>
      <c r="U10" s="35">
        <v>327.52233986178999</v>
      </c>
      <c r="V10" s="35">
        <f t="shared" si="12"/>
        <v>0.77695527889136917</v>
      </c>
      <c r="W10" s="35">
        <f t="shared" si="13"/>
        <v>0.78780569553516622</v>
      </c>
      <c r="X10" s="39">
        <f t="shared" si="25"/>
        <v>0.78238048721326769</v>
      </c>
      <c r="Y10" s="39">
        <f t="shared" si="15"/>
        <v>7.6724031875282702E-3</v>
      </c>
      <c r="Z10" s="35">
        <v>324.91361707069098</v>
      </c>
      <c r="AA10" s="35">
        <v>323.04575831016803</v>
      </c>
      <c r="AB10" s="35">
        <f t="shared" si="16"/>
        <v>0.83751415664567852</v>
      </c>
      <c r="AC10" s="35">
        <f t="shared" si="17"/>
        <v>0.82179027807216487</v>
      </c>
      <c r="AD10" s="40">
        <f t="shared" si="26"/>
        <v>0.8296522173589217</v>
      </c>
      <c r="AE10" s="40">
        <f t="shared" si="19"/>
        <v>1.1118461165885361E-2</v>
      </c>
      <c r="AF10" s="35">
        <v>304.28360061834798</v>
      </c>
      <c r="AG10" s="35">
        <v>311.26190560381201</v>
      </c>
      <c r="AH10" s="35">
        <f t="shared" si="20"/>
        <v>0.8291558139908114</v>
      </c>
      <c r="AI10" s="35">
        <f t="shared" si="21"/>
        <v>0.8376938547348064</v>
      </c>
      <c r="AJ10" s="41">
        <f t="shared" si="27"/>
        <v>0.8334248343628089</v>
      </c>
      <c r="AK10" s="41">
        <f t="shared" si="23"/>
        <v>6.0373065081259008E-3</v>
      </c>
    </row>
    <row r="11" spans="1:37" x14ac:dyDescent="0.35">
      <c r="A11">
        <v>353</v>
      </c>
      <c r="B11" s="25">
        <v>303.944029409618</v>
      </c>
      <c r="C11" s="25">
        <v>302.04553788624298</v>
      </c>
      <c r="D11" s="35">
        <f t="shared" si="0"/>
        <v>0.76199365576017353</v>
      </c>
      <c r="E11" s="35">
        <f t="shared" si="1"/>
        <v>0.76811417716411001</v>
      </c>
      <c r="F11" s="28">
        <f t="shared" si="2"/>
        <v>0.76505391646214171</v>
      </c>
      <c r="G11" s="28">
        <f t="shared" si="3"/>
        <v>4.3278621891208969E-3</v>
      </c>
      <c r="H11" s="25">
        <v>314.28913949345701</v>
      </c>
      <c r="I11" s="25">
        <v>317.22517250897903</v>
      </c>
      <c r="J11" s="35">
        <f t="shared" si="4"/>
        <v>0.78560500798244515</v>
      </c>
      <c r="K11" s="35">
        <f t="shared" si="5"/>
        <v>0.78011305456664137</v>
      </c>
      <c r="L11" s="29">
        <f t="shared" si="6"/>
        <v>0.78285903127454326</v>
      </c>
      <c r="M11" s="29">
        <f t="shared" si="7"/>
        <v>3.8833975022754715E-3</v>
      </c>
      <c r="N11" s="25">
        <v>311.19349771783902</v>
      </c>
      <c r="O11" s="25">
        <v>313.288921758892</v>
      </c>
      <c r="P11" s="35">
        <f t="shared" si="8"/>
        <v>0.80592934430849461</v>
      </c>
      <c r="Q11" s="35">
        <f t="shared" si="9"/>
        <v>0.78296783984927898</v>
      </c>
      <c r="R11" s="30">
        <f t="shared" si="24"/>
        <v>0.79444859207888685</v>
      </c>
      <c r="S11" s="30">
        <f t="shared" si="11"/>
        <v>1.6236235509356524E-2</v>
      </c>
      <c r="T11" s="25">
        <v>320.67954269989201</v>
      </c>
      <c r="U11" s="25">
        <v>322.18092213495999</v>
      </c>
      <c r="V11" s="35">
        <f t="shared" si="12"/>
        <v>0.77614430549142488</v>
      </c>
      <c r="W11" s="35">
        <f t="shared" si="13"/>
        <v>0.77495771909116273</v>
      </c>
      <c r="X11" s="31">
        <f t="shared" si="25"/>
        <v>0.77555101229129386</v>
      </c>
      <c r="Y11" s="31">
        <f t="shared" si="15"/>
        <v>8.390432900890985E-4</v>
      </c>
      <c r="Z11" s="25">
        <v>325.18063397863301</v>
      </c>
      <c r="AA11" s="25">
        <v>322.40614294994703</v>
      </c>
      <c r="AB11" s="35">
        <f t="shared" si="16"/>
        <v>0.83820243324818411</v>
      </c>
      <c r="AC11" s="35">
        <f t="shared" si="17"/>
        <v>0.82016317209348</v>
      </c>
      <c r="AD11" s="32">
        <f t="shared" si="26"/>
        <v>0.82918280267083211</v>
      </c>
      <c r="AE11" s="32">
        <f t="shared" si="19"/>
        <v>1.2755683890086347E-2</v>
      </c>
      <c r="AF11" s="25">
        <v>303.71236019382798</v>
      </c>
      <c r="AG11" s="25">
        <v>314.10913867875598</v>
      </c>
      <c r="AH11" s="35">
        <f t="shared" si="20"/>
        <v>0.82759921574425843</v>
      </c>
      <c r="AI11" s="35">
        <f t="shared" si="21"/>
        <v>0.84535656452016039</v>
      </c>
      <c r="AJ11" s="33">
        <f t="shared" si="27"/>
        <v>0.83647789013220941</v>
      </c>
      <c r="AK11" s="41">
        <f t="shared" si="23"/>
        <v>1.2556341735334915E-2</v>
      </c>
    </row>
    <row r="12" spans="1:37" x14ac:dyDescent="0.35">
      <c r="A12">
        <v>425</v>
      </c>
      <c r="B12" s="25">
        <v>305.66862005580703</v>
      </c>
      <c r="C12" s="25">
        <v>300.88373231371099</v>
      </c>
      <c r="D12" s="35">
        <f t="shared" si="0"/>
        <v>0.76631723840705734</v>
      </c>
      <c r="E12" s="35">
        <f t="shared" si="1"/>
        <v>0.76515965799585728</v>
      </c>
      <c r="F12" s="28">
        <f t="shared" si="2"/>
        <v>0.76573844820145731</v>
      </c>
      <c r="G12" s="28">
        <f t="shared" si="3"/>
        <v>8.185329585282783E-4</v>
      </c>
      <c r="H12" s="25">
        <v>310.06577626857</v>
      </c>
      <c r="I12" s="25">
        <v>315.54341589691899</v>
      </c>
      <c r="J12" s="35">
        <f t="shared" si="4"/>
        <v>0.77504818344390847</v>
      </c>
      <c r="K12" s="35">
        <f t="shared" si="5"/>
        <v>0.77597731629185274</v>
      </c>
      <c r="L12" s="29">
        <f t="shared" si="6"/>
        <v>0.77551274986788066</v>
      </c>
      <c r="M12" s="29">
        <f t="shared" si="7"/>
        <v>6.5699613740456231E-4</v>
      </c>
      <c r="N12" s="25">
        <v>311.44995296634499</v>
      </c>
      <c r="O12" s="25">
        <v>312.82546845328</v>
      </c>
      <c r="P12" s="35">
        <f t="shared" si="8"/>
        <v>0.80659351246042787</v>
      </c>
      <c r="Q12" s="35">
        <f t="shared" si="9"/>
        <v>0.78180958301871895</v>
      </c>
      <c r="R12" s="30">
        <f t="shared" si="24"/>
        <v>0.79420154773957341</v>
      </c>
      <c r="S12" s="30">
        <f t="shared" si="11"/>
        <v>1.752488457268131E-2</v>
      </c>
      <c r="T12" s="25">
        <v>321.30273388287497</v>
      </c>
      <c r="U12" s="25">
        <v>322.83936678370497</v>
      </c>
      <c r="V12" s="35">
        <f t="shared" si="12"/>
        <v>0.77765262212376252</v>
      </c>
      <c r="W12" s="35">
        <f t="shared" si="13"/>
        <v>0.77654150859600946</v>
      </c>
      <c r="X12" s="31">
        <f t="shared" si="25"/>
        <v>0.77709706535988599</v>
      </c>
      <c r="Y12" s="31">
        <f t="shared" si="15"/>
        <v>7.8567591014229617E-4</v>
      </c>
      <c r="Z12" s="25">
        <v>320.00750554003298</v>
      </c>
      <c r="AA12" s="25">
        <v>327.08723747317799</v>
      </c>
      <c r="AB12" s="35">
        <f t="shared" si="16"/>
        <v>0.82486790962761436</v>
      </c>
      <c r="AC12" s="35">
        <f t="shared" si="17"/>
        <v>0.83207132402233008</v>
      </c>
      <c r="AD12" s="32">
        <f t="shared" si="26"/>
        <v>0.82846961682497222</v>
      </c>
      <c r="AE12" s="32">
        <f t="shared" si="19"/>
        <v>5.093583166200278E-3</v>
      </c>
      <c r="AF12" s="25">
        <v>308.40368637557202</v>
      </c>
      <c r="AG12" s="25">
        <v>319.08079489582201</v>
      </c>
      <c r="AH12" s="35">
        <f t="shared" si="20"/>
        <v>0.84038281752567445</v>
      </c>
      <c r="AI12" s="35">
        <f t="shared" si="21"/>
        <v>0.85873669805372344</v>
      </c>
      <c r="AJ12" s="33">
        <f t="shared" si="27"/>
        <v>0.84955975778969894</v>
      </c>
      <c r="AK12" s="41">
        <f t="shared" si="23"/>
        <v>1.2978153382471167E-2</v>
      </c>
    </row>
    <row r="13" spans="1:37" x14ac:dyDescent="0.35">
      <c r="A13">
        <v>497</v>
      </c>
      <c r="B13" s="25">
        <v>300.34696411803901</v>
      </c>
      <c r="C13" s="25">
        <v>301.53321721905098</v>
      </c>
      <c r="D13" s="35">
        <f t="shared" si="0"/>
        <v>0.75297574237374398</v>
      </c>
      <c r="E13" s="35">
        <f t="shared" si="1"/>
        <v>0.76681132471848779</v>
      </c>
      <c r="F13" s="28">
        <f t="shared" si="2"/>
        <v>0.75989353354611588</v>
      </c>
      <c r="G13" s="28">
        <f t="shared" si="3"/>
        <v>9.7832340976332158E-3</v>
      </c>
      <c r="H13" s="25">
        <v>314.61653014968999</v>
      </c>
      <c r="I13" s="25">
        <v>318.36179840283501</v>
      </c>
      <c r="J13" s="35">
        <f t="shared" si="4"/>
        <v>0.78642336186994444</v>
      </c>
      <c r="K13" s="35">
        <f t="shared" si="5"/>
        <v>0.78290821956235246</v>
      </c>
      <c r="L13" s="29">
        <f t="shared" si="6"/>
        <v>0.7846657907161485</v>
      </c>
      <c r="M13" s="29">
        <f t="shared" si="7"/>
        <v>2.4855809625340172E-3</v>
      </c>
      <c r="N13" s="25">
        <v>312.91253644397898</v>
      </c>
      <c r="O13" s="25">
        <v>311.08796651112601</v>
      </c>
      <c r="P13" s="35">
        <f t="shared" si="8"/>
        <v>0.81038131314318751</v>
      </c>
      <c r="Q13" s="35">
        <f t="shared" si="9"/>
        <v>0.77746723942500195</v>
      </c>
      <c r="R13" s="30">
        <f t="shared" si="24"/>
        <v>0.79392427628409479</v>
      </c>
      <c r="S13" s="30">
        <f t="shared" si="11"/>
        <v>2.3273764722602931E-2</v>
      </c>
      <c r="T13" s="25">
        <v>321.33250901496001</v>
      </c>
      <c r="U13" s="25">
        <v>320.90216757689501</v>
      </c>
      <c r="V13" s="35">
        <f t="shared" si="12"/>
        <v>0.77772468721097854</v>
      </c>
      <c r="W13" s="35">
        <f t="shared" si="13"/>
        <v>0.7718818674577741</v>
      </c>
      <c r="X13" s="31">
        <f t="shared" si="25"/>
        <v>0.77480327733437626</v>
      </c>
      <c r="Y13" s="31">
        <f t="shared" si="15"/>
        <v>4.1314974687415712E-3</v>
      </c>
      <c r="Z13" s="25">
        <v>320.404969366285</v>
      </c>
      <c r="AA13" s="25">
        <v>325.93507674479798</v>
      </c>
      <c r="AB13" s="35">
        <f t="shared" si="16"/>
        <v>0.82589243295859005</v>
      </c>
      <c r="AC13" s="35">
        <f t="shared" si="17"/>
        <v>0.82914036312591699</v>
      </c>
      <c r="AD13" s="32">
        <f t="shared" si="26"/>
        <v>0.82751639804225352</v>
      </c>
      <c r="AE13" s="32">
        <f t="shared" si="19"/>
        <v>2.2966334461372376E-3</v>
      </c>
      <c r="AF13" s="25">
        <v>303.43180979231698</v>
      </c>
      <c r="AG13" s="25">
        <v>309.06029890913601</v>
      </c>
      <c r="AH13" s="35">
        <f t="shared" si="20"/>
        <v>0.82683473157206655</v>
      </c>
      <c r="AI13" s="35">
        <f t="shared" si="21"/>
        <v>0.83176870820877902</v>
      </c>
      <c r="AJ13" s="33">
        <f t="shared" si="27"/>
        <v>0.82930171989042278</v>
      </c>
      <c r="AK13" s="41">
        <f t="shared" si="23"/>
        <v>3.4888483380353802E-3</v>
      </c>
    </row>
    <row r="14" spans="1:37" x14ac:dyDescent="0.35">
      <c r="A14">
        <v>593</v>
      </c>
      <c r="B14" s="25">
        <v>305.87663005530101</v>
      </c>
      <c r="C14" s="25">
        <v>298.49932948263103</v>
      </c>
      <c r="D14" s="35">
        <f t="shared" si="0"/>
        <v>0.76683872356423233</v>
      </c>
      <c r="E14" s="35">
        <f t="shared" si="1"/>
        <v>0.75909602391127584</v>
      </c>
      <c r="F14" s="28">
        <f t="shared" si="2"/>
        <v>0.76296737373775403</v>
      </c>
      <c r="G14" s="28">
        <f t="shared" si="3"/>
        <v>5.4749154292962595E-3</v>
      </c>
      <c r="H14" s="23">
        <v>308.16101763927202</v>
      </c>
      <c r="I14" s="23">
        <v>316.06250252906102</v>
      </c>
      <c r="J14" s="35">
        <f t="shared" si="4"/>
        <v>0.77028700104802283</v>
      </c>
      <c r="K14" s="35">
        <f t="shared" si="5"/>
        <v>0.77725384253654595</v>
      </c>
      <c r="L14" s="29">
        <f t="shared" si="6"/>
        <v>0.77377042179228439</v>
      </c>
      <c r="M14" s="29">
        <f t="shared" si="7"/>
        <v>4.9263008599864733E-3</v>
      </c>
      <c r="N14" s="23">
        <v>314.976679159828</v>
      </c>
      <c r="O14" s="23">
        <v>318.91527715464798</v>
      </c>
      <c r="P14" s="35">
        <f t="shared" si="8"/>
        <v>0.81572703276054181</v>
      </c>
      <c r="Q14" s="35">
        <f t="shared" si="9"/>
        <v>0.79702915841013666</v>
      </c>
      <c r="R14" s="30">
        <f t="shared" si="24"/>
        <v>0.80637809558533924</v>
      </c>
      <c r="S14" s="30">
        <f t="shared" si="11"/>
        <v>1.3221393746945496E-2</v>
      </c>
      <c r="T14" s="25">
        <v>317.50250627860129</v>
      </c>
      <c r="U14" s="25">
        <v>316.80446901609702</v>
      </c>
      <c r="V14" s="35">
        <f t="shared" si="12"/>
        <v>0.76845488849287524</v>
      </c>
      <c r="W14" s="35">
        <f t="shared" si="13"/>
        <v>0.7620254702845457</v>
      </c>
      <c r="X14" s="31">
        <f t="shared" si="25"/>
        <v>0.76524017938871047</v>
      </c>
      <c r="Y14" s="31">
        <f t="shared" si="15"/>
        <v>4.5462852141940806E-3</v>
      </c>
      <c r="Z14" s="23">
        <v>322.49063988602097</v>
      </c>
      <c r="AA14" s="23">
        <v>320.27463218562099</v>
      </c>
      <c r="AB14" s="35">
        <f t="shared" si="16"/>
        <v>0.83126856524299775</v>
      </c>
      <c r="AC14" s="35">
        <f t="shared" si="17"/>
        <v>0.8147408603043016</v>
      </c>
      <c r="AD14" s="32">
        <f t="shared" si="26"/>
        <v>0.82300471277364973</v>
      </c>
      <c r="AE14" s="32">
        <f t="shared" si="19"/>
        <v>1.1686852239602441E-2</v>
      </c>
      <c r="AF14" s="23">
        <v>303.35032404380399</v>
      </c>
      <c r="AG14" s="23">
        <v>305.53290392721999</v>
      </c>
      <c r="AH14" s="35">
        <f t="shared" si="20"/>
        <v>0.82661268745927297</v>
      </c>
      <c r="AI14" s="35">
        <f t="shared" si="21"/>
        <v>0.82227549029044322</v>
      </c>
      <c r="AJ14" s="33">
        <f t="shared" ref="AJ14" si="28">AVERAGE(AH14:AI14)</f>
        <v>0.82444408887485809</v>
      </c>
      <c r="AK14" s="41">
        <f t="shared" ref="AK14" si="29">STDEV(AH14:AI14)</f>
        <v>3.0668615294226066E-3</v>
      </c>
    </row>
    <row r="15" spans="1:37" x14ac:dyDescent="0.35">
      <c r="A15">
        <v>737</v>
      </c>
      <c r="B15" s="23">
        <v>294.78826291760203</v>
      </c>
      <c r="C15" s="23">
        <v>289.02733109542203</v>
      </c>
      <c r="D15" s="35">
        <f t="shared" si="0"/>
        <v>0.73903996920778692</v>
      </c>
      <c r="E15" s="35">
        <f t="shared" si="1"/>
        <v>0.73500834396007941</v>
      </c>
      <c r="F15" s="28">
        <f t="shared" ref="F15" si="30">AVERAGE(D15:E15)</f>
        <v>0.73702415658393317</v>
      </c>
      <c r="G15" s="28">
        <f t="shared" ref="G15" si="31">STDEV(D15:E15)</f>
        <v>2.8507895518568708E-3</v>
      </c>
      <c r="H15" s="25">
        <v>299.55106619264097</v>
      </c>
      <c r="I15" s="25">
        <v>296.12641570088499</v>
      </c>
      <c r="J15" s="35">
        <f t="shared" si="4"/>
        <v>0.74876535067900063</v>
      </c>
      <c r="K15" s="35">
        <f t="shared" si="5"/>
        <v>0.72822746336042943</v>
      </c>
      <c r="L15" s="29">
        <f t="shared" ref="L15" si="32">AVERAGE(J15:K15)</f>
        <v>0.73849640701971508</v>
      </c>
      <c r="M15" s="29">
        <f t="shared" ref="M15" si="33">STDEV(J15:K15)</f>
        <v>1.4522479394206896E-2</v>
      </c>
      <c r="N15" s="23">
        <v>310.44328202108397</v>
      </c>
      <c r="O15" s="23">
        <v>315.65615500356699</v>
      </c>
      <c r="P15" s="35">
        <f t="shared" si="8"/>
        <v>0.80398643467506792</v>
      </c>
      <c r="Q15" s="35">
        <f t="shared" si="9"/>
        <v>0.78888400020884963</v>
      </c>
      <c r="R15" s="30">
        <f t="shared" ref="R15" si="34">AVERAGE(P15:Q15)</f>
        <v>0.79643521744195878</v>
      </c>
      <c r="S15" s="30">
        <f t="shared" ref="S15" si="35">STDEV(P15:Q15)</f>
        <v>1.0679033823488386E-2</v>
      </c>
      <c r="T15" s="25">
        <v>315.44091968173501</v>
      </c>
      <c r="U15" s="25">
        <v>316.99092940366302</v>
      </c>
      <c r="V15" s="35">
        <f t="shared" si="12"/>
        <v>0.76346520725545175</v>
      </c>
      <c r="W15" s="35">
        <f t="shared" si="13"/>
        <v>0.76247397268404049</v>
      </c>
      <c r="X15" s="31">
        <f t="shared" ref="X15" si="36">AVERAGE(V15:W15)</f>
        <v>0.76296958996974618</v>
      </c>
      <c r="Y15" s="31">
        <f t="shared" ref="Y15" si="37">STDEV(V15:W15)</f>
        <v>7.0090868719144251E-4</v>
      </c>
      <c r="Z15" s="25">
        <v>317.130905931472</v>
      </c>
      <c r="AA15" s="25">
        <v>320.263604792249</v>
      </c>
      <c r="AB15" s="35">
        <f t="shared" si="16"/>
        <v>0.817453037585957</v>
      </c>
      <c r="AC15" s="35">
        <f t="shared" si="17"/>
        <v>0.81471280791719403</v>
      </c>
      <c r="AD15" s="32">
        <f t="shared" ref="AD15" si="38">AVERAGE(AB15:AC15)</f>
        <v>0.81608292275157557</v>
      </c>
      <c r="AE15" s="32">
        <f t="shared" ref="AE15" si="39">STDEV(AB15:AC15)</f>
        <v>1.9376349807908647E-3</v>
      </c>
      <c r="AF15" s="23">
        <v>309.81461101606601</v>
      </c>
      <c r="AG15" s="23">
        <v>303.62190732014801</v>
      </c>
      <c r="AH15" s="35">
        <f t="shared" si="20"/>
        <v>0.8442275083548586</v>
      </c>
      <c r="AI15" s="35">
        <f t="shared" si="21"/>
        <v>0.81713245773379983</v>
      </c>
      <c r="AJ15" s="33">
        <f t="shared" ref="AJ15" si="40">AVERAGE(AH15:AI15)</f>
        <v>0.83067998304432922</v>
      </c>
      <c r="AK15" s="41">
        <f t="shared" ref="AK15" si="41">STDEV(AH15:AI15)</f>
        <v>1.915909403074343E-2</v>
      </c>
    </row>
    <row r="16" spans="1:37" x14ac:dyDescent="0.35"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/>
    </row>
    <row r="17" spans="2:36" x14ac:dyDescent="0.3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</row>
    <row r="18" spans="2:36" x14ac:dyDescent="0.35"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</row>
    <row r="19" spans="2:36" x14ac:dyDescent="0.3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</row>
    <row r="20" spans="2:36" x14ac:dyDescent="0.35"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</row>
    <row r="21" spans="2:36" x14ac:dyDescent="0.35"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</row>
    <row r="22" spans="2:36" x14ac:dyDescent="0.35"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</row>
    <row r="23" spans="2:36" x14ac:dyDescent="0.35"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</row>
    <row r="24" spans="2:36" x14ac:dyDescent="0.35"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</row>
    <row r="25" spans="2:36" x14ac:dyDescent="0.35"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</row>
    <row r="26" spans="2:36" x14ac:dyDescent="0.35"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</row>
    <row r="27" spans="2:36" x14ac:dyDescent="0.35"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</row>
    <row r="28" spans="2:36" x14ac:dyDescent="0.35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</row>
    <row r="29" spans="2:36" x14ac:dyDescent="0.35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</row>
    <row r="30" spans="2:36" x14ac:dyDescent="0.35"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</row>
    <row r="31" spans="2:36" x14ac:dyDescent="0.35"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</row>
    <row r="32" spans="2:36" x14ac:dyDescent="0.35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</row>
    <row r="33" spans="2:36" x14ac:dyDescent="0.35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</row>
    <row r="34" spans="2:36" x14ac:dyDescent="0.35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</row>
    <row r="35" spans="2:36" x14ac:dyDescent="0.35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</row>
    <row r="36" spans="2:36" x14ac:dyDescent="0.35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</row>
    <row r="37" spans="2:36" x14ac:dyDescent="0.35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</row>
    <row r="38" spans="2:36" x14ac:dyDescent="0.35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</row>
    <row r="39" spans="2:36" x14ac:dyDescent="0.35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</row>
    <row r="40" spans="2:36" x14ac:dyDescent="0.35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</row>
    <row r="41" spans="2:36" x14ac:dyDescent="0.35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</row>
    <row r="42" spans="2:36" x14ac:dyDescent="0.35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</row>
    <row r="43" spans="2:36" x14ac:dyDescent="0.35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</row>
    <row r="44" spans="2:36" x14ac:dyDescent="0.35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</row>
    <row r="45" spans="2:36" x14ac:dyDescent="0.35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</row>
    <row r="46" spans="2:36" x14ac:dyDescent="0.35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</row>
    <row r="47" spans="2:36" x14ac:dyDescent="0.35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</row>
    <row r="48" spans="2:36" x14ac:dyDescent="0.35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</row>
    <row r="49" spans="2:36" x14ac:dyDescent="0.35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</row>
    <row r="50" spans="2:36" x14ac:dyDescent="0.35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</row>
    <row r="51" spans="2:36" x14ac:dyDescent="0.35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</row>
    <row r="52" spans="2:36" x14ac:dyDescent="0.35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</row>
    <row r="53" spans="2:36" x14ac:dyDescent="0.35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</row>
    <row r="54" spans="2:36" x14ac:dyDescent="0.35"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</row>
    <row r="55" spans="2:36" x14ac:dyDescent="0.35"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</row>
    <row r="56" spans="2:36" x14ac:dyDescent="0.35"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</row>
    <row r="57" spans="2:36" x14ac:dyDescent="0.35"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</row>
    <row r="58" spans="2:36" x14ac:dyDescent="0.35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</row>
    <row r="59" spans="2:36" x14ac:dyDescent="0.35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</row>
    <row r="60" spans="2:36" x14ac:dyDescent="0.35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</row>
    <row r="61" spans="2:36" x14ac:dyDescent="0.35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</row>
    <row r="62" spans="2:36" x14ac:dyDescent="0.35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</row>
    <row r="63" spans="2:36" x14ac:dyDescent="0.35"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</row>
    <row r="64" spans="2:36" x14ac:dyDescent="0.35"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</row>
    <row r="65" spans="2:36" x14ac:dyDescent="0.35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</row>
    <row r="66" spans="2:36" x14ac:dyDescent="0.35"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</row>
    <row r="67" spans="2:36" x14ac:dyDescent="0.35"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</row>
    <row r="68" spans="2:36" x14ac:dyDescent="0.35"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</row>
    <row r="69" spans="2:36" x14ac:dyDescent="0.35"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</row>
    <row r="70" spans="2:36" x14ac:dyDescent="0.35"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</row>
    <row r="71" spans="2:36" x14ac:dyDescent="0.35"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</row>
    <row r="72" spans="2:36" x14ac:dyDescent="0.35"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</row>
    <row r="73" spans="2:36" x14ac:dyDescent="0.35"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</row>
    <row r="74" spans="2:36" x14ac:dyDescent="0.35"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</row>
    <row r="75" spans="2:36" x14ac:dyDescent="0.35"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</row>
    <row r="76" spans="2:36" x14ac:dyDescent="0.35"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</row>
    <row r="77" spans="2:36" x14ac:dyDescent="0.35"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</row>
    <row r="78" spans="2:36" x14ac:dyDescent="0.35"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</row>
    <row r="79" spans="2:36" x14ac:dyDescent="0.35"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</row>
    <row r="80" spans="2:36" x14ac:dyDescent="0.35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</row>
    <row r="81" spans="2:36" x14ac:dyDescent="0.35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</row>
    <row r="82" spans="2:36" x14ac:dyDescent="0.35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</row>
    <row r="83" spans="2:36" x14ac:dyDescent="0.35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</row>
    <row r="84" spans="2:36" x14ac:dyDescent="0.35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</row>
    <row r="85" spans="2:36" x14ac:dyDescent="0.35"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</row>
    <row r="86" spans="2:36" x14ac:dyDescent="0.35"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</row>
    <row r="87" spans="2:36" x14ac:dyDescent="0.35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</row>
    <row r="88" spans="2:36" x14ac:dyDescent="0.35"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</row>
    <row r="89" spans="2:36" x14ac:dyDescent="0.35"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</row>
    <row r="90" spans="2:36" x14ac:dyDescent="0.35"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</row>
    <row r="91" spans="2:36" x14ac:dyDescent="0.35"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</row>
    <row r="92" spans="2:36" x14ac:dyDescent="0.35"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</row>
  </sheetData>
  <mergeCells count="7">
    <mergeCell ref="Z1:AE1"/>
    <mergeCell ref="AF1:AK1"/>
    <mergeCell ref="A1:A2"/>
    <mergeCell ref="B1:G1"/>
    <mergeCell ref="H1:M1"/>
    <mergeCell ref="N1:S1"/>
    <mergeCell ref="T1:Y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40352-8A4C-433A-BFBF-6595B7384A55}">
  <dimension ref="A1:AL31"/>
  <sheetViews>
    <sheetView zoomScale="93" zoomScaleNormal="93" workbookViewId="0">
      <selection activeCell="H38" sqref="H38"/>
    </sheetView>
  </sheetViews>
  <sheetFormatPr defaultRowHeight="14.5" x14ac:dyDescent="0.35"/>
  <sheetData>
    <row r="1" spans="1:38" x14ac:dyDescent="0.35">
      <c r="A1" s="62" t="s">
        <v>0</v>
      </c>
      <c r="B1" s="63" t="s">
        <v>3</v>
      </c>
      <c r="C1" s="63"/>
      <c r="D1" s="63"/>
      <c r="E1" s="63"/>
      <c r="F1" s="63"/>
      <c r="G1" s="64"/>
      <c r="H1" s="65" t="s">
        <v>4</v>
      </c>
      <c r="I1" s="66"/>
      <c r="J1" s="66"/>
      <c r="K1" s="66"/>
      <c r="L1" s="66"/>
      <c r="M1" s="67"/>
      <c r="N1" s="68" t="s">
        <v>5</v>
      </c>
      <c r="O1" s="69"/>
      <c r="P1" s="69"/>
      <c r="Q1" s="69"/>
      <c r="R1" s="69"/>
      <c r="S1" s="70"/>
      <c r="T1" s="71" t="s">
        <v>6</v>
      </c>
      <c r="U1" s="71"/>
      <c r="V1" s="71"/>
      <c r="W1" s="71"/>
      <c r="X1" s="71"/>
      <c r="Y1" s="72"/>
      <c r="Z1" s="56" t="s">
        <v>7</v>
      </c>
      <c r="AA1" s="57"/>
      <c r="AB1" s="57"/>
      <c r="AC1" s="57"/>
      <c r="AD1" s="57"/>
      <c r="AE1" s="58"/>
      <c r="AF1" s="59" t="s">
        <v>8</v>
      </c>
      <c r="AG1" s="60"/>
      <c r="AH1" s="60"/>
      <c r="AI1" s="60"/>
      <c r="AJ1" s="60"/>
      <c r="AK1" s="61"/>
    </row>
    <row r="2" spans="1:38" x14ac:dyDescent="0.35">
      <c r="A2" s="62"/>
      <c r="B2" s="1">
        <v>1</v>
      </c>
      <c r="C2" s="1">
        <v>2</v>
      </c>
      <c r="D2" s="2">
        <v>0.01</v>
      </c>
      <c r="E2" s="2">
        <v>0.02</v>
      </c>
      <c r="F2" s="3" t="s">
        <v>1</v>
      </c>
      <c r="G2" s="3" t="s">
        <v>2</v>
      </c>
      <c r="H2" s="1">
        <v>1</v>
      </c>
      <c r="I2" s="1">
        <v>2</v>
      </c>
      <c r="J2" s="2">
        <v>0.01</v>
      </c>
      <c r="K2" s="2">
        <v>0.02</v>
      </c>
      <c r="L2" s="4" t="s">
        <v>1</v>
      </c>
      <c r="M2" s="4" t="s">
        <v>2</v>
      </c>
      <c r="N2" s="1">
        <v>1</v>
      </c>
      <c r="O2" s="1">
        <v>2</v>
      </c>
      <c r="P2" s="2">
        <v>0.01</v>
      </c>
      <c r="Q2" s="2">
        <v>0.02</v>
      </c>
      <c r="R2" s="5" t="s">
        <v>1</v>
      </c>
      <c r="S2" s="5" t="s">
        <v>2</v>
      </c>
      <c r="T2" s="1">
        <v>1</v>
      </c>
      <c r="U2" s="1">
        <v>2</v>
      </c>
      <c r="V2" s="2">
        <v>0.01</v>
      </c>
      <c r="W2" s="2">
        <v>0.02</v>
      </c>
      <c r="X2" s="6" t="s">
        <v>1</v>
      </c>
      <c r="Y2" s="6" t="s">
        <v>2</v>
      </c>
      <c r="Z2" s="1">
        <v>1</v>
      </c>
      <c r="AA2" s="1">
        <v>2</v>
      </c>
      <c r="AB2" s="2">
        <v>0.01</v>
      </c>
      <c r="AC2" s="2">
        <v>0.02</v>
      </c>
      <c r="AD2" s="7" t="s">
        <v>1</v>
      </c>
      <c r="AE2" s="7" t="s">
        <v>2</v>
      </c>
      <c r="AF2" s="1">
        <v>1</v>
      </c>
      <c r="AG2" s="1">
        <v>2</v>
      </c>
      <c r="AH2" s="2">
        <v>0.01</v>
      </c>
      <c r="AI2" s="2">
        <v>0.02</v>
      </c>
      <c r="AJ2" s="8" t="s">
        <v>1</v>
      </c>
      <c r="AK2" s="8" t="s">
        <v>2</v>
      </c>
    </row>
    <row r="3" spans="1:38" x14ac:dyDescent="0.35">
      <c r="A3">
        <v>0</v>
      </c>
      <c r="B3" s="35">
        <v>393.68442564734875</v>
      </c>
      <c r="C3" s="35">
        <v>392.77725367430799</v>
      </c>
      <c r="D3" s="35">
        <f>(B3/393.68)</f>
        <v>1.0000112417378295</v>
      </c>
      <c r="E3" s="35">
        <f>(C3/392.78)</f>
        <v>0.9999930079798055</v>
      </c>
      <c r="F3" s="36">
        <f>AVERAGE(D3:E3)</f>
        <v>1.0000021248588176</v>
      </c>
      <c r="G3" s="36">
        <f>STDEV(D3:E3)</f>
        <v>1.2893213945292844E-5</v>
      </c>
      <c r="H3" s="35">
        <v>403.80542881851983</v>
      </c>
      <c r="I3" s="35">
        <v>404.58408591293983</v>
      </c>
      <c r="J3" s="35">
        <f>(H3/403.81)</f>
        <v>0.99998867987053275</v>
      </c>
      <c r="K3" s="35">
        <f>(I3/404.58)</f>
        <v>1.000010099147115</v>
      </c>
      <c r="L3" s="37">
        <f>AVERAGE(J3:K3)</f>
        <v>0.99999938950882394</v>
      </c>
      <c r="M3" s="37">
        <f>STDEV(J3:K3)</f>
        <v>1.5145715719440123E-5</v>
      </c>
      <c r="N3" s="35">
        <v>386.00580251587178</v>
      </c>
      <c r="O3" s="35">
        <v>393.62021089865118</v>
      </c>
      <c r="P3" s="35">
        <f>(N3/386.01)</f>
        <v>0.99998912597049761</v>
      </c>
      <c r="Q3" s="35">
        <f>(O3/393.62)</f>
        <v>1.0000005357925186</v>
      </c>
      <c r="R3" s="38">
        <f>AVERAGE(P3:Q3)</f>
        <v>0.99999483088150809</v>
      </c>
      <c r="S3" s="38">
        <f>STDEV(P3:Q3)</f>
        <v>8.0679625231588299E-6</v>
      </c>
      <c r="T3" s="35">
        <v>414.71576444783216</v>
      </c>
      <c r="U3" s="35">
        <v>419.0146052562003</v>
      </c>
      <c r="V3" s="35">
        <f>(T3/414.72)</f>
        <v>0.99998978695947172</v>
      </c>
      <c r="W3" s="35">
        <f>(U3/419.01)</f>
        <v>1.0000109908026069</v>
      </c>
      <c r="X3" s="39">
        <f>AVERAGE(V3:W3)</f>
        <v>1.0000003888810394</v>
      </c>
      <c r="Y3" s="39">
        <f>STDEV(V3:W3)</f>
        <v>1.4993381268114304E-5</v>
      </c>
      <c r="Z3" s="35">
        <v>387.9641081143763</v>
      </c>
      <c r="AA3" s="35">
        <v>395.736988440414</v>
      </c>
      <c r="AB3" s="35">
        <f>(Z3/387.96)</f>
        <v>1.0000105890153015</v>
      </c>
      <c r="AC3" s="35">
        <f>(AA3/395.74)</f>
        <v>0.99999239005512197</v>
      </c>
      <c r="AD3" s="40">
        <f>AVERAGE(AB3:AC3)</f>
        <v>1.0000014895352116</v>
      </c>
      <c r="AE3" s="40">
        <f>STDEV(AB3:AC3)</f>
        <v>1.2868608153479908E-5</v>
      </c>
      <c r="AF3" s="35">
        <v>378.49735923063997</v>
      </c>
      <c r="AG3" s="35">
        <v>387.63749533083097</v>
      </c>
      <c r="AH3" s="35">
        <f>(AF3/378.5)</f>
        <v>0.99999302306642002</v>
      </c>
      <c r="AI3" s="35">
        <f>(AG3/387.64)</f>
        <v>0.99999353867204366</v>
      </c>
      <c r="AJ3" s="41">
        <f>AVERAGE(AH3:AI3)</f>
        <v>0.99999328086923178</v>
      </c>
      <c r="AK3" s="41">
        <f>STDEV(AH3:AI3)</f>
        <v>3.6458823289451084E-7</v>
      </c>
    </row>
    <row r="4" spans="1:38" x14ac:dyDescent="0.35">
      <c r="A4">
        <v>17</v>
      </c>
      <c r="B4" s="35">
        <v>322.66194819270896</v>
      </c>
      <c r="C4" s="35">
        <v>322.75151406645631</v>
      </c>
      <c r="D4" s="35">
        <f t="shared" ref="D4:D15" si="0">(B4/393.68)</f>
        <v>0.8196046235336033</v>
      </c>
      <c r="E4" s="35">
        <f t="shared" ref="E4:E15" si="1">(C4/392.78)</f>
        <v>0.82171066262655001</v>
      </c>
      <c r="F4" s="36">
        <f t="shared" ref="F4:F13" si="2">AVERAGE(D4:E4)</f>
        <v>0.82065764308007672</v>
      </c>
      <c r="G4" s="36">
        <f t="shared" ref="G4:G13" si="3">STDEV(D4:E4)</f>
        <v>1.4891945240665843E-3</v>
      </c>
      <c r="H4" s="35">
        <v>327.36013854848801</v>
      </c>
      <c r="I4" s="35">
        <v>328.15126317339883</v>
      </c>
      <c r="J4" s="35">
        <f t="shared" ref="J4:J15" si="4">(H4/403.81)</f>
        <v>0.8106786323976326</v>
      </c>
      <c r="K4" s="35">
        <f t="shared" ref="K4:K15" si="5">(I4/404.58)</f>
        <v>0.81109116410450055</v>
      </c>
      <c r="L4" s="37">
        <f t="shared" ref="L4:L13" si="6">AVERAGE(J4:K4)</f>
        <v>0.81088489825106658</v>
      </c>
      <c r="M4" s="37">
        <f t="shared" ref="M4:M13" si="7">STDEV(J4:K4)</f>
        <v>2.9170396738078624E-4</v>
      </c>
      <c r="N4" s="35">
        <v>327.58502046613302</v>
      </c>
      <c r="O4" s="35">
        <v>327.49166471145099</v>
      </c>
      <c r="P4" s="35">
        <f t="shared" ref="P4:P15" si="8">(N4/386.01)</f>
        <v>0.84864387053737733</v>
      </c>
      <c r="Q4" s="35">
        <f t="shared" ref="Q4:Q15" si="9">(O4/393.62)</f>
        <v>0.83199955467570497</v>
      </c>
      <c r="R4" s="38">
        <f t="shared" ref="R4" si="10">AVERAGE(P4:Q4)</f>
        <v>0.8403217126065412</v>
      </c>
      <c r="S4" s="38">
        <f t="shared" ref="S4:S13" si="11">STDEV(P4:Q4)</f>
        <v>1.1769308613999344E-2</v>
      </c>
      <c r="T4" s="35">
        <v>311.98352165390799</v>
      </c>
      <c r="U4" s="35">
        <v>327.13864144998053</v>
      </c>
      <c r="V4" s="35">
        <f t="shared" ref="V4:V15" si="12">(T4/414.72)</f>
        <v>0.75227508114850494</v>
      </c>
      <c r="W4" s="35">
        <f t="shared" ref="W4:W15" si="13">(U4/419.01)</f>
        <v>0.78074184733056617</v>
      </c>
      <c r="X4" s="39">
        <f t="shared" ref="X4" si="14">AVERAGE(V4:W4)</f>
        <v>0.76650846423953556</v>
      </c>
      <c r="Y4" s="39">
        <f t="shared" ref="Y4:Y13" si="15">STDEV(V4:W4)</f>
        <v>2.0129043405787382E-2</v>
      </c>
      <c r="Z4" s="35">
        <v>319.40712016395662</v>
      </c>
      <c r="AA4" s="35">
        <v>315.81987943468698</v>
      </c>
      <c r="AB4" s="35">
        <f t="shared" ref="AB4:AB15" si="16">(Z4/387.96)</f>
        <v>0.82329910342292156</v>
      </c>
      <c r="AC4" s="35">
        <f t="shared" ref="AC4:AC15" si="17">(AA4/395.74)</f>
        <v>0.79804891958024704</v>
      </c>
      <c r="AD4" s="40">
        <f t="shared" ref="AD4:AD13" si="18">AVERAGE(AB4:AC4)</f>
        <v>0.81067401150158425</v>
      </c>
      <c r="AE4" s="40">
        <f t="shared" ref="AE4:AE13" si="19">STDEV(AB4:AC4)</f>
        <v>1.7854576221362151E-2</v>
      </c>
      <c r="AF4" s="35">
        <v>317.60243442853698</v>
      </c>
      <c r="AG4" s="35">
        <v>335.15090146450001</v>
      </c>
      <c r="AH4" s="35">
        <f t="shared" ref="AH4:AH15" si="20">(AF4/378.5)</f>
        <v>0.83910814908464193</v>
      </c>
      <c r="AI4" s="35">
        <f t="shared" ref="AI4:AI15" si="21">(AG4/387.64)</f>
        <v>0.8645931830164586</v>
      </c>
      <c r="AJ4" s="41">
        <f t="shared" ref="AJ4" si="22">AVERAGE(AH4:AI4)</f>
        <v>0.85185066605055026</v>
      </c>
      <c r="AK4" s="41">
        <f t="shared" ref="AK4:AK13" si="23">STDEV(AH4:AI4)</f>
        <v>1.8020640311956829E-2</v>
      </c>
    </row>
    <row r="5" spans="1:38" x14ac:dyDescent="0.35">
      <c r="A5">
        <v>41</v>
      </c>
      <c r="B5" s="35">
        <v>311.56262338238014</v>
      </c>
      <c r="C5" s="35">
        <v>299.74802545345085</v>
      </c>
      <c r="D5" s="35">
        <f t="shared" si="0"/>
        <v>0.79141084988411947</v>
      </c>
      <c r="E5" s="35">
        <f t="shared" si="1"/>
        <v>0.76314482777496528</v>
      </c>
      <c r="F5" s="36">
        <f t="shared" si="2"/>
        <v>0.77727783882954238</v>
      </c>
      <c r="G5" s="36">
        <f t="shared" si="3"/>
        <v>1.9987095910551804E-2</v>
      </c>
      <c r="H5" s="35">
        <v>325.22417471900599</v>
      </c>
      <c r="I5" s="35">
        <v>323.10021034438898</v>
      </c>
      <c r="J5" s="35">
        <f t="shared" si="4"/>
        <v>0.80538910556698939</v>
      </c>
      <c r="K5" s="35">
        <f t="shared" si="5"/>
        <v>0.79860648164612436</v>
      </c>
      <c r="L5" s="37">
        <f>AVERAGE(J5:K5)</f>
        <v>0.80199779360655687</v>
      </c>
      <c r="M5" s="37">
        <f t="shared" si="7"/>
        <v>4.7960393686817581E-3</v>
      </c>
      <c r="N5" s="35">
        <v>324.75952873602301</v>
      </c>
      <c r="O5" s="35">
        <v>325.15249937542899</v>
      </c>
      <c r="P5" s="35">
        <f t="shared" si="8"/>
        <v>0.84132413340592993</v>
      </c>
      <c r="Q5" s="35">
        <f t="shared" si="9"/>
        <v>0.82605685528029316</v>
      </c>
      <c r="R5" s="38">
        <f>AVERAGE(P5:Q5)</f>
        <v>0.8336904943431116</v>
      </c>
      <c r="S5" s="38">
        <f t="shared" si="11"/>
        <v>1.0795595892898805E-2</v>
      </c>
      <c r="T5" s="35">
        <v>303.03369749950002</v>
      </c>
      <c r="U5" s="35">
        <v>309.80225828079898</v>
      </c>
      <c r="V5" s="35">
        <f t="shared" si="12"/>
        <v>0.73069467954161849</v>
      </c>
      <c r="W5" s="35">
        <f t="shared" si="13"/>
        <v>0.73936721863630694</v>
      </c>
      <c r="X5" s="39">
        <f>AVERAGE(V5:W5)</f>
        <v>0.73503094908896272</v>
      </c>
      <c r="Y5" s="39">
        <f t="shared" si="15"/>
        <v>6.1324112039596512E-3</v>
      </c>
      <c r="Z5" s="35">
        <v>317.58417949655524</v>
      </c>
      <c r="AA5" s="35">
        <v>310.57824135413927</v>
      </c>
      <c r="AB5" s="35">
        <f t="shared" si="16"/>
        <v>0.81860031832290769</v>
      </c>
      <c r="AC5" s="35">
        <f t="shared" si="17"/>
        <v>0.7848037634662639</v>
      </c>
      <c r="AD5" s="40">
        <f t="shared" si="18"/>
        <v>0.80170204089458585</v>
      </c>
      <c r="AE5" s="40">
        <f t="shared" si="19"/>
        <v>2.3897773119875971E-2</v>
      </c>
      <c r="AF5" s="35">
        <v>311.30482209637614</v>
      </c>
      <c r="AG5" s="35">
        <v>337.75058727833999</v>
      </c>
      <c r="AH5" s="35">
        <f t="shared" si="20"/>
        <v>0.82246980738804798</v>
      </c>
      <c r="AI5" s="35">
        <f t="shared" si="21"/>
        <v>0.87129962665963268</v>
      </c>
      <c r="AJ5" s="41">
        <f>AVERAGE(AH5:AI5)</f>
        <v>0.84688471702384027</v>
      </c>
      <c r="AK5" s="41">
        <f t="shared" si="23"/>
        <v>3.4527896331051099E-2</v>
      </c>
    </row>
    <row r="6" spans="1:38" x14ac:dyDescent="0.35">
      <c r="A6">
        <v>65</v>
      </c>
      <c r="B6" s="35">
        <v>304.3016036977188</v>
      </c>
      <c r="C6" s="35">
        <v>288.43221399631307</v>
      </c>
      <c r="D6" s="35">
        <f t="shared" si="0"/>
        <v>0.77296688604378883</v>
      </c>
      <c r="E6" s="35">
        <f t="shared" si="1"/>
        <v>0.73433528691968297</v>
      </c>
      <c r="F6" s="36">
        <f t="shared" si="2"/>
        <v>0.75365108648173584</v>
      </c>
      <c r="G6" s="36">
        <f t="shared" si="3"/>
        <v>2.7316665708735539E-2</v>
      </c>
      <c r="H6" s="35">
        <v>326.18675749409101</v>
      </c>
      <c r="I6" s="35">
        <v>322.0733968134</v>
      </c>
      <c r="J6" s="35">
        <f t="shared" si="4"/>
        <v>0.80777285726973336</v>
      </c>
      <c r="K6" s="35">
        <f t="shared" si="5"/>
        <v>0.79606850762123682</v>
      </c>
      <c r="L6" s="37">
        <f t="shared" si="6"/>
        <v>0.80192068244548509</v>
      </c>
      <c r="M6" s="37">
        <f t="shared" si="7"/>
        <v>8.2762250058302858E-3</v>
      </c>
      <c r="N6" s="35">
        <v>328.263293956506</v>
      </c>
      <c r="O6" s="35">
        <v>326.02353443847699</v>
      </c>
      <c r="P6" s="35">
        <f t="shared" si="8"/>
        <v>0.85040101022384396</v>
      </c>
      <c r="Q6" s="35">
        <f t="shared" si="9"/>
        <v>0.82826973842405616</v>
      </c>
      <c r="R6" s="38">
        <f t="shared" ref="R6:R13" si="24">AVERAGE(P6:Q6)</f>
        <v>0.83933537432395</v>
      </c>
      <c r="S6" s="38">
        <f t="shared" si="11"/>
        <v>1.564917236591256E-2</v>
      </c>
      <c r="T6" s="35">
        <v>278.83904827735398</v>
      </c>
      <c r="U6" s="35">
        <v>281.66849735951001</v>
      </c>
      <c r="V6" s="35">
        <f t="shared" si="12"/>
        <v>0.6723549582305024</v>
      </c>
      <c r="W6" s="35">
        <f t="shared" si="13"/>
        <v>0.67222380697241124</v>
      </c>
      <c r="X6" s="39">
        <f t="shared" ref="X6:X13" si="25">AVERAGE(V6:W6)</f>
        <v>0.67228938260145688</v>
      </c>
      <c r="Y6" s="39">
        <f t="shared" si="15"/>
        <v>9.2737943957403173E-5</v>
      </c>
      <c r="Z6" s="35">
        <v>317.10249898762601</v>
      </c>
      <c r="AA6" s="35">
        <v>313.23271161628901</v>
      </c>
      <c r="AB6" s="35">
        <f t="shared" si="16"/>
        <v>0.81735874571508926</v>
      </c>
      <c r="AC6" s="35">
        <f t="shared" si="17"/>
        <v>0.79151137518645831</v>
      </c>
      <c r="AD6" s="40">
        <f t="shared" si="18"/>
        <v>0.80443506045077373</v>
      </c>
      <c r="AE6" s="40">
        <f t="shared" si="19"/>
        <v>1.8276850976636266E-2</v>
      </c>
      <c r="AF6" s="35">
        <v>319.19123631521597</v>
      </c>
      <c r="AG6" s="35">
        <v>334.85016674530601</v>
      </c>
      <c r="AH6" s="35">
        <f t="shared" si="20"/>
        <v>0.84330577626212944</v>
      </c>
      <c r="AI6" s="35">
        <f t="shared" si="21"/>
        <v>0.86381737371093292</v>
      </c>
      <c r="AJ6" s="41">
        <f t="shared" ref="AJ6:AJ13" si="26">AVERAGE(AH6:AI6)</f>
        <v>0.85356157498653118</v>
      </c>
      <c r="AK6" s="41">
        <f t="shared" si="23"/>
        <v>1.4503889649017634E-2</v>
      </c>
    </row>
    <row r="7" spans="1:38" x14ac:dyDescent="0.35">
      <c r="A7">
        <v>113</v>
      </c>
      <c r="B7" s="35">
        <v>293.13065565556343</v>
      </c>
      <c r="C7" s="35">
        <v>276.47199861291494</v>
      </c>
      <c r="D7" s="35">
        <f t="shared" si="0"/>
        <v>0.74459117977942346</v>
      </c>
      <c r="E7" s="35">
        <f t="shared" si="1"/>
        <v>0.70388512300248218</v>
      </c>
      <c r="F7" s="36">
        <f t="shared" si="2"/>
        <v>0.72423815139095282</v>
      </c>
      <c r="G7" s="36">
        <f t="shared" si="3"/>
        <v>2.8783528782339796E-2</v>
      </c>
      <c r="H7" s="35">
        <v>326.95275234901857</v>
      </c>
      <c r="I7" s="35">
        <v>324.62013363042939</v>
      </c>
      <c r="J7" s="35">
        <f t="shared" si="4"/>
        <v>0.8096697762537296</v>
      </c>
      <c r="K7" s="35">
        <f t="shared" si="5"/>
        <v>0.80236327458210832</v>
      </c>
      <c r="L7" s="37">
        <f t="shared" si="6"/>
        <v>0.80601652541791902</v>
      </c>
      <c r="M7" s="37">
        <f t="shared" si="7"/>
        <v>5.1664768787542514E-3</v>
      </c>
      <c r="N7" s="35">
        <v>322.55126209634358</v>
      </c>
      <c r="O7" s="35">
        <v>325.17156536199326</v>
      </c>
      <c r="P7" s="35">
        <f t="shared" si="8"/>
        <v>0.83560338358162634</v>
      </c>
      <c r="Q7" s="35">
        <f t="shared" si="9"/>
        <v>0.82610529282555067</v>
      </c>
      <c r="R7" s="38">
        <f t="shared" si="24"/>
        <v>0.83085433820358845</v>
      </c>
      <c r="S7" s="38">
        <f t="shared" si="11"/>
        <v>6.7161643819463627E-3</v>
      </c>
      <c r="T7" s="35">
        <v>262.02586915956698</v>
      </c>
      <c r="U7" s="35">
        <v>261.00142449196301</v>
      </c>
      <c r="V7" s="35">
        <f t="shared" si="12"/>
        <v>0.63181392062009778</v>
      </c>
      <c r="W7" s="35">
        <f t="shared" si="13"/>
        <v>0.62290022789900723</v>
      </c>
      <c r="X7" s="39">
        <f t="shared" si="25"/>
        <v>0.62735707425955245</v>
      </c>
      <c r="Y7" s="39">
        <f t="shared" si="15"/>
        <v>6.3029325684962967E-3</v>
      </c>
      <c r="Z7" s="35">
        <v>322.55103023626151</v>
      </c>
      <c r="AA7" s="35">
        <v>313.27432357543501</v>
      </c>
      <c r="AB7" s="35">
        <f t="shared" si="16"/>
        <v>0.83140279986663967</v>
      </c>
      <c r="AC7" s="35">
        <f t="shared" si="17"/>
        <v>0.79161652492908219</v>
      </c>
      <c r="AD7" s="40">
        <f t="shared" si="18"/>
        <v>0.81150966239786093</v>
      </c>
      <c r="AE7" s="40">
        <f t="shared" si="19"/>
        <v>2.8133144806499283E-2</v>
      </c>
      <c r="AF7" s="35">
        <v>312.50726237186018</v>
      </c>
      <c r="AG7" s="35">
        <v>336.11845993256787</v>
      </c>
      <c r="AH7" s="35">
        <f t="shared" si="20"/>
        <v>0.82564666412644694</v>
      </c>
      <c r="AI7" s="35">
        <f t="shared" si="21"/>
        <v>0.86708920630628383</v>
      </c>
      <c r="AJ7" s="41">
        <f t="shared" si="26"/>
        <v>0.84636793521636533</v>
      </c>
      <c r="AK7" s="41">
        <f t="shared" si="23"/>
        <v>2.9304302604972195E-2</v>
      </c>
    </row>
    <row r="8" spans="1:38" s="27" customFormat="1" x14ac:dyDescent="0.35">
      <c r="A8" s="27">
        <v>161</v>
      </c>
      <c r="B8" s="42">
        <v>270.71157452412001</v>
      </c>
      <c r="C8" s="42">
        <v>272.80750449654602</v>
      </c>
      <c r="D8" s="42">
        <f t="shared" si="0"/>
        <v>0.68764370687898801</v>
      </c>
      <c r="E8" s="42">
        <f t="shared" si="1"/>
        <v>0.69455548779608445</v>
      </c>
      <c r="F8" s="36">
        <f t="shared" si="2"/>
        <v>0.69109959733753623</v>
      </c>
      <c r="G8" s="36">
        <f t="shared" si="3"/>
        <v>4.8873671565546617E-3</v>
      </c>
      <c r="H8" s="42">
        <v>330.73885739846753</v>
      </c>
      <c r="I8" s="42">
        <v>322.25242039426513</v>
      </c>
      <c r="J8" s="42">
        <f t="shared" si="4"/>
        <v>0.81904573289038785</v>
      </c>
      <c r="K8" s="42">
        <f t="shared" si="5"/>
        <v>0.7965110000352591</v>
      </c>
      <c r="L8" s="37">
        <f t="shared" si="6"/>
        <v>0.80777836646282353</v>
      </c>
      <c r="M8" s="37">
        <f t="shared" si="7"/>
        <v>1.5934462414088826E-2</v>
      </c>
      <c r="N8" s="42">
        <v>317.76181770711895</v>
      </c>
      <c r="O8" s="42">
        <v>320.69242599236276</v>
      </c>
      <c r="P8" s="42">
        <f t="shared" si="8"/>
        <v>0.82319581800243247</v>
      </c>
      <c r="Q8" s="42">
        <f t="shared" si="9"/>
        <v>0.81472594378426588</v>
      </c>
      <c r="R8" s="38">
        <f t="shared" si="24"/>
        <v>0.81896088089334917</v>
      </c>
      <c r="S8" s="38">
        <f t="shared" si="11"/>
        <v>5.9891054954626993E-3</v>
      </c>
      <c r="T8" s="42">
        <v>242.24286008834926</v>
      </c>
      <c r="U8" s="42">
        <v>245.51822980718984</v>
      </c>
      <c r="V8" s="42">
        <f t="shared" si="12"/>
        <v>0.58411183470377426</v>
      </c>
      <c r="W8" s="42">
        <f t="shared" si="13"/>
        <v>0.58594837786017007</v>
      </c>
      <c r="X8" s="39">
        <f t="shared" si="25"/>
        <v>0.58503010628197216</v>
      </c>
      <c r="Y8" s="39">
        <f t="shared" si="15"/>
        <v>1.2986321198292226E-3</v>
      </c>
      <c r="Z8" s="42">
        <v>324.99977047366758</v>
      </c>
      <c r="AA8" s="42">
        <v>313.32909432976197</v>
      </c>
      <c r="AB8" s="42">
        <f t="shared" si="16"/>
        <v>0.83771463675035462</v>
      </c>
      <c r="AC8" s="42">
        <f t="shared" si="17"/>
        <v>0.79175492578400453</v>
      </c>
      <c r="AD8" s="43">
        <f t="shared" si="18"/>
        <v>0.81473478126717958</v>
      </c>
      <c r="AE8" s="43">
        <f t="shared" si="19"/>
        <v>3.2498423285679888E-2</v>
      </c>
      <c r="AF8" s="42">
        <v>313.75909841319282</v>
      </c>
      <c r="AG8" s="42">
        <v>333.62703305728229</v>
      </c>
      <c r="AH8" s="42">
        <f t="shared" si="20"/>
        <v>0.82895402486973002</v>
      </c>
      <c r="AI8" s="42">
        <f t="shared" si="21"/>
        <v>0.86066203966897714</v>
      </c>
      <c r="AJ8" s="41">
        <f t="shared" si="26"/>
        <v>0.84480803226935364</v>
      </c>
      <c r="AK8" s="41">
        <f t="shared" si="23"/>
        <v>2.2420952282511043E-2</v>
      </c>
    </row>
    <row r="9" spans="1:38" x14ac:dyDescent="0.35">
      <c r="A9">
        <v>233</v>
      </c>
      <c r="B9" s="35">
        <v>251.493451293417</v>
      </c>
      <c r="C9" s="35">
        <v>266.86801775483224</v>
      </c>
      <c r="D9" s="35">
        <f t="shared" si="0"/>
        <v>0.63882709635596679</v>
      </c>
      <c r="E9" s="35">
        <f t="shared" si="1"/>
        <v>0.67943382492701321</v>
      </c>
      <c r="F9" s="36">
        <f t="shared" si="2"/>
        <v>0.65913046064149006</v>
      </c>
      <c r="G9" s="36">
        <f t="shared" si="3"/>
        <v>2.8713293134388442E-2</v>
      </c>
      <c r="H9" s="35">
        <v>328.21957811883686</v>
      </c>
      <c r="I9" s="35">
        <v>313.72941163522427</v>
      </c>
      <c r="J9" s="35">
        <f t="shared" si="4"/>
        <v>0.81280695901249811</v>
      </c>
      <c r="K9" s="35">
        <f t="shared" si="5"/>
        <v>0.77544468741713446</v>
      </c>
      <c r="L9" s="37">
        <f t="shared" si="6"/>
        <v>0.79412582321481628</v>
      </c>
      <c r="M9" s="37">
        <f t="shared" si="7"/>
        <v>2.6419115605615166E-2</v>
      </c>
      <c r="N9" s="35">
        <v>318.16707155593502</v>
      </c>
      <c r="O9" s="35">
        <v>317.6790616930096</v>
      </c>
      <c r="P9" s="35">
        <f t="shared" si="8"/>
        <v>0.82424567124150938</v>
      </c>
      <c r="Q9" s="35">
        <f t="shared" si="9"/>
        <v>0.807070427551978</v>
      </c>
      <c r="R9" s="38">
        <f t="shared" si="24"/>
        <v>0.81565804939674369</v>
      </c>
      <c r="S9" s="38">
        <f t="shared" si="11"/>
        <v>1.2144731281399099E-2</v>
      </c>
      <c r="T9" s="35">
        <v>240.44538557416126</v>
      </c>
      <c r="U9" s="35">
        <v>239.71882997519009</v>
      </c>
      <c r="V9" s="35">
        <f t="shared" si="12"/>
        <v>0.5797776465426342</v>
      </c>
      <c r="W9" s="35">
        <f t="shared" si="13"/>
        <v>0.57210765846922529</v>
      </c>
      <c r="X9" s="39">
        <f t="shared" si="25"/>
        <v>0.57594265250592969</v>
      </c>
      <c r="Y9" s="39">
        <f t="shared" si="15"/>
        <v>5.4235005783273811E-3</v>
      </c>
      <c r="Z9" s="35">
        <v>319.00690373565857</v>
      </c>
      <c r="AA9" s="35">
        <v>311.10637710675502</v>
      </c>
      <c r="AB9" s="35">
        <f t="shared" si="16"/>
        <v>0.82226751143328847</v>
      </c>
      <c r="AC9" s="35">
        <f t="shared" si="17"/>
        <v>0.78613831583048221</v>
      </c>
      <c r="AD9" s="40">
        <f t="shared" si="18"/>
        <v>0.80420291363188534</v>
      </c>
      <c r="AE9" s="40">
        <f t="shared" si="19"/>
        <v>2.5547199209559494E-2</v>
      </c>
      <c r="AF9" s="35">
        <v>309.60390903303602</v>
      </c>
      <c r="AG9" s="35">
        <v>334.27304083083055</v>
      </c>
      <c r="AH9" s="35">
        <f t="shared" si="20"/>
        <v>0.81797598159322593</v>
      </c>
      <c r="AI9" s="35">
        <f t="shared" si="21"/>
        <v>0.8623285544082927</v>
      </c>
      <c r="AJ9" s="41">
        <f t="shared" si="26"/>
        <v>0.84015226800075937</v>
      </c>
      <c r="AK9" s="41">
        <f t="shared" si="23"/>
        <v>3.1362005000603835E-2</v>
      </c>
    </row>
    <row r="10" spans="1:38" x14ac:dyDescent="0.35">
      <c r="A10">
        <v>305</v>
      </c>
      <c r="B10" s="35">
        <v>255.97685483840056</v>
      </c>
      <c r="C10" s="35">
        <v>252.24938553779199</v>
      </c>
      <c r="D10" s="35">
        <f t="shared" si="0"/>
        <v>0.65021554267019044</v>
      </c>
      <c r="E10" s="35">
        <f t="shared" si="1"/>
        <v>0.64221545276692293</v>
      </c>
      <c r="F10" s="36">
        <f t="shared" si="2"/>
        <v>0.64621549771855669</v>
      </c>
      <c r="G10" s="36">
        <f t="shared" si="3"/>
        <v>5.6569178207024834E-3</v>
      </c>
      <c r="H10" s="35">
        <v>334.05944100381697</v>
      </c>
      <c r="I10" s="35">
        <v>321.65815685508011</v>
      </c>
      <c r="J10" s="35">
        <f t="shared" si="4"/>
        <v>0.82726886655560028</v>
      </c>
      <c r="K10" s="35">
        <f t="shared" si="5"/>
        <v>0.79504215941242795</v>
      </c>
      <c r="L10" s="37">
        <f t="shared" si="6"/>
        <v>0.81115551298401412</v>
      </c>
      <c r="M10" s="37">
        <f t="shared" si="7"/>
        <v>2.2787723156250102E-2</v>
      </c>
      <c r="N10" s="35">
        <v>316.06716696199436</v>
      </c>
      <c r="O10" s="35">
        <v>315.49003889696547</v>
      </c>
      <c r="P10" s="35">
        <f t="shared" si="8"/>
        <v>0.81880564483302087</v>
      </c>
      <c r="Q10" s="35">
        <f t="shared" si="9"/>
        <v>0.80150916847966436</v>
      </c>
      <c r="R10" s="38">
        <f t="shared" si="24"/>
        <v>0.81015740665634262</v>
      </c>
      <c r="S10" s="38">
        <f t="shared" si="11"/>
        <v>1.223045572009116E-2</v>
      </c>
      <c r="T10" s="35">
        <v>227.28140620436801</v>
      </c>
      <c r="U10" s="35">
        <v>204.04300724357799</v>
      </c>
      <c r="V10" s="35">
        <f t="shared" si="12"/>
        <v>0.54803579813939041</v>
      </c>
      <c r="W10" s="35">
        <f t="shared" si="13"/>
        <v>0.48696452887419867</v>
      </c>
      <c r="X10" s="39">
        <f t="shared" si="25"/>
        <v>0.51750016350679451</v>
      </c>
      <c r="Y10" s="39">
        <f t="shared" si="15"/>
        <v>4.318390863308666E-2</v>
      </c>
      <c r="Z10" s="35">
        <v>318.757544337534</v>
      </c>
      <c r="AA10" s="35">
        <v>308.12700543167801</v>
      </c>
      <c r="AB10" s="35">
        <f t="shared" si="16"/>
        <v>0.82162476630975878</v>
      </c>
      <c r="AC10" s="35">
        <f t="shared" si="17"/>
        <v>0.7786097069583009</v>
      </c>
      <c r="AD10" s="40">
        <f t="shared" si="18"/>
        <v>0.80011723663402989</v>
      </c>
      <c r="AE10" s="40">
        <f t="shared" si="19"/>
        <v>3.0416240160557686E-2</v>
      </c>
      <c r="AF10" s="35">
        <v>319.52988153530617</v>
      </c>
      <c r="AG10" s="35">
        <v>327.20321992990398</v>
      </c>
      <c r="AH10" s="35">
        <f t="shared" si="20"/>
        <v>0.84420047961771771</v>
      </c>
      <c r="AI10" s="35">
        <f t="shared" si="21"/>
        <v>0.844090444561717</v>
      </c>
      <c r="AJ10" s="41">
        <f t="shared" si="26"/>
        <v>0.8441454620897173</v>
      </c>
      <c r="AK10" s="41">
        <f t="shared" si="23"/>
        <v>7.7806534266345242E-5</v>
      </c>
    </row>
    <row r="11" spans="1:38" x14ac:dyDescent="0.35">
      <c r="A11">
        <v>353</v>
      </c>
      <c r="B11" s="35">
        <v>251.651198749271</v>
      </c>
      <c r="C11" s="35">
        <v>255.00370065908999</v>
      </c>
      <c r="D11" s="35">
        <f t="shared" si="0"/>
        <v>0.63922779605077984</v>
      </c>
      <c r="E11" s="35">
        <f t="shared" si="1"/>
        <v>0.64922781368473448</v>
      </c>
      <c r="F11" s="36">
        <f t="shared" si="2"/>
        <v>0.64422780486775721</v>
      </c>
      <c r="G11" s="36">
        <f t="shared" si="3"/>
        <v>7.07108028095438E-3</v>
      </c>
      <c r="H11" s="35">
        <v>327.56608479094882</v>
      </c>
      <c r="I11" s="35">
        <v>317.783306479548</v>
      </c>
      <c r="J11" s="35">
        <f t="shared" si="4"/>
        <v>0.81118864017966075</v>
      </c>
      <c r="K11" s="35">
        <f t="shared" si="5"/>
        <v>0.7854646954361264</v>
      </c>
      <c r="L11" s="37">
        <f t="shared" si="6"/>
        <v>0.79832666780789352</v>
      </c>
      <c r="M11" s="37">
        <f t="shared" si="7"/>
        <v>1.8189575767021179E-2</v>
      </c>
      <c r="N11" s="35">
        <v>317.71017707190316</v>
      </c>
      <c r="O11" s="35">
        <v>315.89015935804218</v>
      </c>
      <c r="P11" s="35">
        <f t="shared" si="8"/>
        <v>0.82306203743919371</v>
      </c>
      <c r="Q11" s="35">
        <f t="shared" si="9"/>
        <v>0.80252568303958682</v>
      </c>
      <c r="R11" s="38">
        <f t="shared" si="24"/>
        <v>0.81279386023939026</v>
      </c>
      <c r="S11" s="38">
        <f t="shared" si="11"/>
        <v>1.4521395456812216E-2</v>
      </c>
      <c r="T11" s="35">
        <v>205.62564477831501</v>
      </c>
      <c r="U11" s="35">
        <v>200.199904503114</v>
      </c>
      <c r="V11" s="35">
        <f t="shared" si="12"/>
        <v>0.49581800920697094</v>
      </c>
      <c r="W11" s="35">
        <f t="shared" si="13"/>
        <v>0.47779266486029931</v>
      </c>
      <c r="X11" s="39">
        <f t="shared" si="25"/>
        <v>0.48680533703363515</v>
      </c>
      <c r="Y11" s="39">
        <f t="shared" si="15"/>
        <v>1.2745843220754111E-2</v>
      </c>
      <c r="Z11" s="35">
        <v>314.37808025465898</v>
      </c>
      <c r="AA11" s="35">
        <v>312.07806120849301</v>
      </c>
      <c r="AB11" s="35">
        <f t="shared" si="16"/>
        <v>0.81033632398870759</v>
      </c>
      <c r="AC11" s="35">
        <f t="shared" si="17"/>
        <v>0.78859367566708694</v>
      </c>
      <c r="AD11" s="40">
        <f t="shared" si="18"/>
        <v>0.79946499982789732</v>
      </c>
      <c r="AE11" s="40">
        <f t="shared" si="19"/>
        <v>1.5374374069172268E-2</v>
      </c>
      <c r="AF11" s="35">
        <v>317.63587634804702</v>
      </c>
      <c r="AG11" s="35">
        <v>326.44360093451701</v>
      </c>
      <c r="AH11" s="35">
        <f t="shared" si="20"/>
        <v>0.83919650290104897</v>
      </c>
      <c r="AI11" s="35">
        <f t="shared" si="21"/>
        <v>0.84213084546103867</v>
      </c>
      <c r="AJ11" s="41">
        <f t="shared" si="26"/>
        <v>0.84066367418104382</v>
      </c>
      <c r="AK11" s="41">
        <f t="shared" si="23"/>
        <v>2.0748935224930106E-3</v>
      </c>
    </row>
    <row r="12" spans="1:38" x14ac:dyDescent="0.35">
      <c r="A12">
        <v>425</v>
      </c>
      <c r="B12" s="35">
        <v>248.17619732557</v>
      </c>
      <c r="C12" s="35">
        <v>250.911418338358</v>
      </c>
      <c r="D12" s="35">
        <f t="shared" si="0"/>
        <v>0.63040082637058015</v>
      </c>
      <c r="E12" s="35">
        <f t="shared" si="1"/>
        <v>0.6388090491836601</v>
      </c>
      <c r="F12" s="36">
        <f t="shared" si="2"/>
        <v>0.63460493777712013</v>
      </c>
      <c r="G12" s="36">
        <f t="shared" si="3"/>
        <v>5.9455113688562664E-3</v>
      </c>
      <c r="H12" s="35">
        <v>330.49106222513734</v>
      </c>
      <c r="I12" s="35">
        <v>322.10350497511831</v>
      </c>
      <c r="J12" s="35">
        <f t="shared" si="4"/>
        <v>0.81843208990648408</v>
      </c>
      <c r="K12" s="35">
        <f t="shared" si="5"/>
        <v>0.79614292593583058</v>
      </c>
      <c r="L12" s="37">
        <f t="shared" si="6"/>
        <v>0.80728750792115733</v>
      </c>
      <c r="M12" s="37">
        <f t="shared" si="7"/>
        <v>1.5760818990627964E-2</v>
      </c>
      <c r="N12" s="35">
        <v>315.59969763693715</v>
      </c>
      <c r="O12" s="35">
        <v>312.82336030366139</v>
      </c>
      <c r="P12" s="35">
        <f t="shared" si="8"/>
        <v>0.8175946157792211</v>
      </c>
      <c r="Q12" s="35">
        <f t="shared" si="9"/>
        <v>0.79473441467319084</v>
      </c>
      <c r="R12" s="38">
        <f t="shared" si="24"/>
        <v>0.80616451522620602</v>
      </c>
      <c r="S12" s="38">
        <f t="shared" si="11"/>
        <v>1.6164603221362213E-2</v>
      </c>
      <c r="T12" s="35">
        <v>190.58751609046701</v>
      </c>
      <c r="U12" s="35">
        <v>197.54027352982001</v>
      </c>
      <c r="V12" s="35">
        <f t="shared" si="12"/>
        <v>0.45955708933851031</v>
      </c>
      <c r="W12" s="35">
        <f t="shared" si="13"/>
        <v>0.47144524839459684</v>
      </c>
      <c r="X12" s="39">
        <f t="shared" si="25"/>
        <v>0.46550116886655357</v>
      </c>
      <c r="Y12" s="39">
        <f t="shared" si="15"/>
        <v>8.4061978843830536E-3</v>
      </c>
      <c r="Z12" s="35">
        <v>306.01170291963399</v>
      </c>
      <c r="AA12" s="35">
        <v>304.30388610443202</v>
      </c>
      <c r="AB12" s="35">
        <f t="shared" si="16"/>
        <v>0.78877127260447988</v>
      </c>
      <c r="AC12" s="35">
        <f t="shared" si="17"/>
        <v>0.7689490223490979</v>
      </c>
      <c r="AD12" s="40">
        <f t="shared" si="18"/>
        <v>0.77886014747678889</v>
      </c>
      <c r="AE12" s="40">
        <f t="shared" si="19"/>
        <v>1.4016447573957371E-2</v>
      </c>
      <c r="AF12" s="35">
        <v>319.94991165320357</v>
      </c>
      <c r="AG12" s="35">
        <v>320.56130937724998</v>
      </c>
      <c r="AH12" s="35">
        <f t="shared" si="20"/>
        <v>0.84531020251837141</v>
      </c>
      <c r="AI12" s="35">
        <f t="shared" si="21"/>
        <v>0.82695622066156738</v>
      </c>
      <c r="AJ12" s="41">
        <f t="shared" si="26"/>
        <v>0.83613321158996934</v>
      </c>
      <c r="AK12" s="41">
        <f t="shared" si="23"/>
        <v>1.2978225032720996E-2</v>
      </c>
    </row>
    <row r="13" spans="1:38" x14ac:dyDescent="0.35">
      <c r="A13">
        <v>497</v>
      </c>
      <c r="B13" s="25">
        <v>228.49789318114</v>
      </c>
      <c r="C13" s="25">
        <v>238.47128420763821</v>
      </c>
      <c r="D13" s="35">
        <f t="shared" si="0"/>
        <v>0.58041529460765084</v>
      </c>
      <c r="E13" s="35">
        <f t="shared" si="1"/>
        <v>0.60713703398247931</v>
      </c>
      <c r="F13" s="28">
        <f t="shared" si="2"/>
        <v>0.59377616429506508</v>
      </c>
      <c r="G13" s="28">
        <f t="shared" si="3"/>
        <v>1.8895123117040787E-2</v>
      </c>
      <c r="H13" s="25">
        <v>328.23780087623737</v>
      </c>
      <c r="I13" s="25">
        <v>320.79063468795601</v>
      </c>
      <c r="J13" s="35">
        <f t="shared" si="4"/>
        <v>0.81285208607076931</v>
      </c>
      <c r="K13" s="35">
        <f t="shared" si="5"/>
        <v>0.79289790569962926</v>
      </c>
      <c r="L13" s="29">
        <f t="shared" si="6"/>
        <v>0.80287499588519928</v>
      </c>
      <c r="M13" s="29">
        <f t="shared" si="7"/>
        <v>1.410973625345263E-2</v>
      </c>
      <c r="N13" s="25">
        <v>318.59039500713942</v>
      </c>
      <c r="O13" s="25">
        <v>314.04251862740938</v>
      </c>
      <c r="P13" s="35">
        <f t="shared" si="8"/>
        <v>0.82534233570928062</v>
      </c>
      <c r="Q13" s="35">
        <f t="shared" si="9"/>
        <v>0.79783171238100037</v>
      </c>
      <c r="R13" s="30">
        <f t="shared" si="24"/>
        <v>0.81158702404514049</v>
      </c>
      <c r="S13" s="30">
        <f t="shared" si="11"/>
        <v>1.945294831009579E-2</v>
      </c>
      <c r="T13" s="25">
        <v>195.74709097536501</v>
      </c>
      <c r="U13" s="25">
        <v>192.48325747807701</v>
      </c>
      <c r="V13" s="35">
        <f t="shared" si="12"/>
        <v>0.47199819390278985</v>
      </c>
      <c r="W13" s="35">
        <f t="shared" si="13"/>
        <v>0.45937628571651512</v>
      </c>
      <c r="X13" s="31">
        <f t="shared" si="25"/>
        <v>0.46568723980965249</v>
      </c>
      <c r="Y13" s="31">
        <f t="shared" si="15"/>
        <v>8.9250368700288605E-3</v>
      </c>
      <c r="Z13" s="25">
        <v>315.849595315454</v>
      </c>
      <c r="AA13" s="25">
        <v>303.272359457042</v>
      </c>
      <c r="AB13" s="35">
        <f t="shared" si="16"/>
        <v>0.81412927960473769</v>
      </c>
      <c r="AC13" s="35">
        <f t="shared" si="17"/>
        <v>0.76634244568919496</v>
      </c>
      <c r="AD13" s="32">
        <f t="shared" si="18"/>
        <v>0.79023586264696632</v>
      </c>
      <c r="AE13" s="32">
        <f t="shared" si="19"/>
        <v>3.3790394313115556E-2</v>
      </c>
      <c r="AF13" s="25">
        <v>316.34387327134948</v>
      </c>
      <c r="AG13" s="25">
        <v>325.59622917878301</v>
      </c>
      <c r="AH13" s="35">
        <f t="shared" si="20"/>
        <v>0.83578302053196696</v>
      </c>
      <c r="AI13" s="35">
        <f t="shared" si="21"/>
        <v>0.83994486941178159</v>
      </c>
      <c r="AJ13" s="33">
        <f t="shared" si="26"/>
        <v>0.83786394497187433</v>
      </c>
      <c r="AK13" s="33">
        <f t="shared" si="23"/>
        <v>2.9428715651905642E-3</v>
      </c>
      <c r="AL13" s="9"/>
    </row>
    <row r="14" spans="1:38" x14ac:dyDescent="0.35">
      <c r="A14">
        <v>593</v>
      </c>
      <c r="B14" s="25">
        <v>215.324423263688</v>
      </c>
      <c r="C14" s="25">
        <v>235.68287651392799</v>
      </c>
      <c r="D14" s="35">
        <f t="shared" si="0"/>
        <v>0.54695291420363745</v>
      </c>
      <c r="E14" s="35">
        <f t="shared" si="1"/>
        <v>0.60003787492725702</v>
      </c>
      <c r="F14" s="28">
        <f t="shared" ref="F14" si="27">AVERAGE(D14:E14)</f>
        <v>0.57349539456544729</v>
      </c>
      <c r="G14" s="28">
        <f t="shared" ref="G14" si="28">STDEV(D14:E14)</f>
        <v>3.7536735706692935E-2</v>
      </c>
      <c r="H14" s="25">
        <v>328.64009496595497</v>
      </c>
      <c r="I14" s="25">
        <v>322.078200759928</v>
      </c>
      <c r="J14" s="35">
        <f t="shared" si="4"/>
        <v>0.81384833205209128</v>
      </c>
      <c r="K14" s="35">
        <f t="shared" si="5"/>
        <v>0.7960803815312868</v>
      </c>
      <c r="L14" s="29">
        <f t="shared" ref="L14" si="29">AVERAGE(J14:K14)</f>
        <v>0.8049643567916891</v>
      </c>
      <c r="M14" s="29">
        <f t="shared" ref="M14" si="30">STDEV(J14:K14)</f>
        <v>1.2563838301047903E-2</v>
      </c>
      <c r="N14" s="23">
        <v>311.69771601196999</v>
      </c>
      <c r="O14" s="23">
        <v>320.11935503010699</v>
      </c>
      <c r="P14" s="35">
        <f t="shared" si="8"/>
        <v>0.80748611697098516</v>
      </c>
      <c r="Q14" s="35">
        <f t="shared" si="9"/>
        <v>0.81327004478966258</v>
      </c>
      <c r="R14" s="30">
        <f t="shared" ref="R14" si="31">AVERAGE(P14:Q14)</f>
        <v>0.81037808088032381</v>
      </c>
      <c r="S14" s="30">
        <f t="shared" ref="S14" si="32">STDEV(P14:Q14)</f>
        <v>4.0898545824803231E-3</v>
      </c>
      <c r="T14" s="23">
        <v>197.40036731223299</v>
      </c>
      <c r="U14" s="23">
        <v>190.12556152107899</v>
      </c>
      <c r="V14" s="35">
        <f t="shared" si="12"/>
        <v>0.47598468198358646</v>
      </c>
      <c r="W14" s="35">
        <f t="shared" si="13"/>
        <v>0.45374946068370442</v>
      </c>
      <c r="X14" s="31">
        <f t="shared" ref="X14" si="33">AVERAGE(V14:W14)</f>
        <v>0.46486707133364547</v>
      </c>
      <c r="Y14" s="31">
        <f t="shared" ref="Y14" si="34">STDEV(V14:W14)</f>
        <v>1.5722675762330145E-2</v>
      </c>
      <c r="Z14" s="23">
        <v>313.64640706172065</v>
      </c>
      <c r="AA14" s="23">
        <v>302.78317311329897</v>
      </c>
      <c r="AB14" s="35">
        <f t="shared" si="16"/>
        <v>0.80845037390896146</v>
      </c>
      <c r="AC14" s="35">
        <f t="shared" si="17"/>
        <v>0.76510631503840643</v>
      </c>
      <c r="AD14" s="32">
        <f t="shared" ref="AD14" si="35">AVERAGE(AB14:AC14)</f>
        <v>0.786778344473684</v>
      </c>
      <c r="AE14" s="32">
        <f t="shared" ref="AE14" si="36">STDEV(AB14:AC14)</f>
        <v>3.0648877951518393E-2</v>
      </c>
      <c r="AF14" s="23">
        <v>311.66124627507099</v>
      </c>
      <c r="AG14" s="23">
        <v>324.07126611370802</v>
      </c>
      <c r="AH14" s="35">
        <f t="shared" si="20"/>
        <v>0.82341148289318622</v>
      </c>
      <c r="AI14" s="35">
        <f t="shared" si="21"/>
        <v>0.83601090216104645</v>
      </c>
      <c r="AJ14" s="33">
        <f t="shared" ref="AJ14" si="37">AVERAGE(AH14:AI14)</f>
        <v>0.82971119252711634</v>
      </c>
      <c r="AK14" s="33">
        <f t="shared" ref="AK14" si="38">STDEV(AH14:AI14)</f>
        <v>8.9091348033164177E-3</v>
      </c>
      <c r="AL14" s="9"/>
    </row>
    <row r="15" spans="1:38" x14ac:dyDescent="0.35">
      <c r="A15">
        <v>737</v>
      </c>
      <c r="B15" s="23">
        <v>209.18549294002401</v>
      </c>
      <c r="C15" s="23">
        <v>215.73926234997501</v>
      </c>
      <c r="D15" s="35">
        <f t="shared" si="0"/>
        <v>0.53135920783383461</v>
      </c>
      <c r="E15" s="35">
        <f t="shared" si="1"/>
        <v>0.54926234113237693</v>
      </c>
      <c r="F15" s="28">
        <f t="shared" ref="F15" si="39">AVERAGE(D15:E15)</f>
        <v>0.54031077448310572</v>
      </c>
      <c r="G15" s="28">
        <f t="shared" ref="G15" si="40">STDEV(D15:E15)</f>
        <v>1.2659426959885955E-2</v>
      </c>
      <c r="H15" s="25">
        <v>321.16183078167097</v>
      </c>
      <c r="I15" s="25">
        <v>320.51896547637</v>
      </c>
      <c r="J15" s="35">
        <f t="shared" si="4"/>
        <v>0.79532906758542621</v>
      </c>
      <c r="K15" s="35">
        <f t="shared" si="5"/>
        <v>0.79222642116854514</v>
      </c>
      <c r="L15" s="29">
        <f t="shared" ref="L15" si="41">AVERAGE(J15:K15)</f>
        <v>0.79377774437698567</v>
      </c>
      <c r="M15" s="29">
        <f t="shared" ref="M15" si="42">STDEV(J15:K15)</f>
        <v>2.1939023210007496E-3</v>
      </c>
      <c r="N15" s="23">
        <v>311.69252830198207</v>
      </c>
      <c r="O15" s="23">
        <v>313.44458514509563</v>
      </c>
      <c r="P15" s="35">
        <f t="shared" si="8"/>
        <v>0.80747267765597286</v>
      </c>
      <c r="Q15" s="35">
        <f t="shared" si="9"/>
        <v>0.79631264962424575</v>
      </c>
      <c r="R15" s="30">
        <f t="shared" ref="R15" si="43">AVERAGE(P15:Q15)</f>
        <v>0.80189266364010936</v>
      </c>
      <c r="S15" s="30">
        <f t="shared" ref="S15" si="44">STDEV(P15:Q15)</f>
        <v>7.891331499466199E-3</v>
      </c>
      <c r="T15" s="23">
        <v>201.994802764752</v>
      </c>
      <c r="U15" s="25">
        <v>192.504201770447</v>
      </c>
      <c r="V15" s="35">
        <f t="shared" si="12"/>
        <v>0.48706308537025461</v>
      </c>
      <c r="W15" s="35">
        <f t="shared" si="13"/>
        <v>0.45942627090152266</v>
      </c>
      <c r="X15" s="31">
        <f t="shared" ref="X15" si="45">AVERAGE(V15:W15)</f>
        <v>0.47324467813588866</v>
      </c>
      <c r="Y15" s="31">
        <f t="shared" ref="Y15" si="46">STDEV(V15:W15)</f>
        <v>1.9542178921234853E-2</v>
      </c>
      <c r="Z15" s="25">
        <v>298.35133254616602</v>
      </c>
      <c r="AA15" s="25">
        <v>292.34499314750565</v>
      </c>
      <c r="AB15" s="35">
        <f t="shared" si="16"/>
        <v>0.76902601439881957</v>
      </c>
      <c r="AC15" s="35">
        <f t="shared" si="17"/>
        <v>0.7387299569098541</v>
      </c>
      <c r="AD15" s="32">
        <f t="shared" ref="AD15" si="47">AVERAGE(AB15:AC15)</f>
        <v>0.75387798565433684</v>
      </c>
      <c r="AE15" s="32">
        <f t="shared" ref="AE15" si="48">STDEV(AB15:AC15)</f>
        <v>2.1422547693664969E-2</v>
      </c>
      <c r="AF15" s="23">
        <v>311.17815319617199</v>
      </c>
      <c r="AG15" s="23">
        <v>329.58980783406901</v>
      </c>
      <c r="AH15" s="35">
        <f t="shared" si="20"/>
        <v>0.8221351471497278</v>
      </c>
      <c r="AI15" s="35">
        <f t="shared" si="21"/>
        <v>0.85024715672806994</v>
      </c>
      <c r="AJ15" s="33">
        <f t="shared" ref="AJ15" si="49">AVERAGE(AH15:AI15)</f>
        <v>0.83619115193889892</v>
      </c>
      <c r="AK15" s="33">
        <f t="shared" ref="AK15" si="50">STDEV(AH15:AI15)</f>
        <v>1.9878192605626909E-2</v>
      </c>
      <c r="AL15" s="9"/>
    </row>
    <row r="16" spans="1:38" x14ac:dyDescent="0.35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</row>
    <row r="17" spans="2:38" x14ac:dyDescent="0.3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</row>
    <row r="18" spans="2:38" x14ac:dyDescent="0.35">
      <c r="B18" s="9"/>
      <c r="C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</row>
    <row r="19" spans="2:38" x14ac:dyDescent="0.35">
      <c r="B19" s="35"/>
      <c r="C19" s="35"/>
      <c r="D19" s="45"/>
    </row>
    <row r="20" spans="2:38" x14ac:dyDescent="0.35">
      <c r="B20" s="35"/>
      <c r="C20" s="35"/>
      <c r="D20" s="45"/>
    </row>
    <row r="21" spans="2:38" x14ac:dyDescent="0.35">
      <c r="B21" s="35"/>
      <c r="C21" s="35"/>
      <c r="D21" s="45"/>
    </row>
    <row r="22" spans="2:38" x14ac:dyDescent="0.35">
      <c r="B22" s="35"/>
      <c r="C22" s="35"/>
      <c r="D22" s="45"/>
    </row>
    <row r="23" spans="2:38" x14ac:dyDescent="0.35">
      <c r="B23" s="35"/>
      <c r="C23" s="35"/>
      <c r="D23" s="45"/>
    </row>
    <row r="24" spans="2:38" x14ac:dyDescent="0.35">
      <c r="B24" s="42"/>
      <c r="C24" s="42"/>
      <c r="D24" s="45"/>
    </row>
    <row r="25" spans="2:38" x14ac:dyDescent="0.35">
      <c r="B25" s="35"/>
      <c r="C25" s="35"/>
      <c r="D25" s="45"/>
    </row>
    <row r="26" spans="2:38" x14ac:dyDescent="0.35">
      <c r="B26" s="35"/>
      <c r="C26" s="35"/>
      <c r="D26" s="45"/>
    </row>
    <row r="27" spans="2:38" x14ac:dyDescent="0.35">
      <c r="B27" s="35"/>
      <c r="C27" s="35"/>
      <c r="D27" s="45"/>
    </row>
    <row r="28" spans="2:38" x14ac:dyDescent="0.35">
      <c r="B28" s="35"/>
      <c r="C28" s="35"/>
      <c r="D28" s="45"/>
    </row>
    <row r="29" spans="2:38" x14ac:dyDescent="0.35">
      <c r="B29" s="25"/>
      <c r="C29" s="25"/>
      <c r="D29" s="45"/>
    </row>
    <row r="30" spans="2:38" x14ac:dyDescent="0.35">
      <c r="B30" s="25"/>
      <c r="C30" s="25"/>
      <c r="D30" s="45"/>
    </row>
    <row r="31" spans="2:38" x14ac:dyDescent="0.35">
      <c r="B31" s="23"/>
      <c r="C31" s="23"/>
      <c r="D31" s="45"/>
    </row>
  </sheetData>
  <mergeCells count="7">
    <mergeCell ref="Z1:AE1"/>
    <mergeCell ref="AF1:AK1"/>
    <mergeCell ref="A1:A2"/>
    <mergeCell ref="B1:G1"/>
    <mergeCell ref="H1:M1"/>
    <mergeCell ref="N1:S1"/>
    <mergeCell ref="T1:Y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9B84A-B1C5-4AA7-8803-BF9C83E6E6BD}">
  <dimension ref="A1:AK20"/>
  <sheetViews>
    <sheetView topLeftCell="T1" zoomScale="95" zoomScaleNormal="95" workbookViewId="0">
      <selection activeCell="AG15" sqref="AG15"/>
    </sheetView>
  </sheetViews>
  <sheetFormatPr defaultRowHeight="14.5" x14ac:dyDescent="0.35"/>
  <cols>
    <col min="1" max="16384" width="8.7265625" style="9"/>
  </cols>
  <sheetData>
    <row r="1" spans="1:37" x14ac:dyDescent="0.35">
      <c r="A1" s="51" t="s">
        <v>0</v>
      </c>
      <c r="B1" s="52" t="s">
        <v>3</v>
      </c>
      <c r="C1" s="52"/>
      <c r="D1" s="52"/>
      <c r="E1" s="52"/>
      <c r="F1" s="52"/>
      <c r="G1" s="52"/>
      <c r="H1" s="53" t="s">
        <v>4</v>
      </c>
      <c r="I1" s="53"/>
      <c r="J1" s="53"/>
      <c r="K1" s="53"/>
      <c r="L1" s="53"/>
      <c r="M1" s="53"/>
      <c r="N1" s="54" t="s">
        <v>5</v>
      </c>
      <c r="O1" s="54"/>
      <c r="P1" s="54"/>
      <c r="Q1" s="54"/>
      <c r="R1" s="54"/>
      <c r="S1" s="54"/>
      <c r="T1" s="55" t="s">
        <v>6</v>
      </c>
      <c r="U1" s="55"/>
      <c r="V1" s="55"/>
      <c r="W1" s="55"/>
      <c r="X1" s="55"/>
      <c r="Y1" s="55"/>
      <c r="Z1" s="49" t="s">
        <v>7</v>
      </c>
      <c r="AA1" s="49"/>
      <c r="AB1" s="49"/>
      <c r="AC1" s="49"/>
      <c r="AD1" s="49"/>
      <c r="AE1" s="49"/>
      <c r="AF1" s="50" t="s">
        <v>8</v>
      </c>
      <c r="AG1" s="50"/>
      <c r="AH1" s="50"/>
      <c r="AI1" s="50"/>
      <c r="AJ1" s="50"/>
      <c r="AK1" s="50"/>
    </row>
    <row r="2" spans="1:37" x14ac:dyDescent="0.35">
      <c r="A2" s="51"/>
      <c r="B2" s="14">
        <v>1</v>
      </c>
      <c r="C2" s="14">
        <v>2</v>
      </c>
      <c r="D2" s="15">
        <v>0.01</v>
      </c>
      <c r="E2" s="15">
        <v>0.02</v>
      </c>
      <c r="F2" s="16" t="s">
        <v>1</v>
      </c>
      <c r="G2" s="16" t="s">
        <v>2</v>
      </c>
      <c r="H2" s="14">
        <v>1</v>
      </c>
      <c r="I2" s="14">
        <v>2</v>
      </c>
      <c r="J2" s="15">
        <v>0.01</v>
      </c>
      <c r="K2" s="15">
        <v>0.02</v>
      </c>
      <c r="L2" s="17" t="s">
        <v>1</v>
      </c>
      <c r="M2" s="17" t="s">
        <v>2</v>
      </c>
      <c r="N2" s="14">
        <v>1</v>
      </c>
      <c r="O2" s="14">
        <v>2</v>
      </c>
      <c r="P2" s="15">
        <v>0.01</v>
      </c>
      <c r="Q2" s="15">
        <v>0.02</v>
      </c>
      <c r="R2" s="18" t="s">
        <v>1</v>
      </c>
      <c r="S2" s="18" t="s">
        <v>2</v>
      </c>
      <c r="T2" s="14">
        <v>1</v>
      </c>
      <c r="U2" s="14">
        <v>2</v>
      </c>
      <c r="V2" s="15">
        <v>0.01</v>
      </c>
      <c r="W2" s="15">
        <v>0.02</v>
      </c>
      <c r="X2" s="19" t="s">
        <v>1</v>
      </c>
      <c r="Y2" s="19" t="s">
        <v>2</v>
      </c>
      <c r="Z2" s="14">
        <v>1</v>
      </c>
      <c r="AA2" s="14">
        <v>2</v>
      </c>
      <c r="AB2" s="15">
        <v>0.01</v>
      </c>
      <c r="AC2" s="15">
        <v>0.02</v>
      </c>
      <c r="AD2" s="20" t="s">
        <v>1</v>
      </c>
      <c r="AE2" s="20" t="s">
        <v>2</v>
      </c>
      <c r="AF2" s="14">
        <v>1</v>
      </c>
      <c r="AG2" s="14">
        <v>2</v>
      </c>
      <c r="AH2" s="15">
        <v>0.01</v>
      </c>
      <c r="AI2" s="15">
        <v>0.02</v>
      </c>
      <c r="AJ2" s="21" t="s">
        <v>1</v>
      </c>
      <c r="AK2" s="21" t="s">
        <v>2</v>
      </c>
    </row>
    <row r="3" spans="1:37" x14ac:dyDescent="0.35">
      <c r="A3" s="9">
        <v>0</v>
      </c>
      <c r="B3" s="25">
        <v>453.01131168628365</v>
      </c>
      <c r="C3" s="25">
        <v>446.05120564433207</v>
      </c>
      <c r="D3" s="25">
        <f>(B3/453.01)</f>
        <v>1.000002895490792</v>
      </c>
      <c r="E3" s="25">
        <f>(C3/446.05)</f>
        <v>1.0000027029353931</v>
      </c>
      <c r="F3" s="28">
        <f>AVERAGE(D3:E3)</f>
        <v>1.0000027992130924</v>
      </c>
      <c r="G3" s="28">
        <f>STDEV(D3:E3)</f>
        <v>1.3615722835800102E-7</v>
      </c>
      <c r="H3" s="25">
        <v>419.76017060754799</v>
      </c>
      <c r="I3" s="25">
        <v>417.38134125961301</v>
      </c>
      <c r="J3" s="25">
        <f>(H3/419.76)</f>
        <v>1.0000004064406995</v>
      </c>
      <c r="K3" s="25">
        <f>(I3/417.38)</f>
        <v>1.0000032135215224</v>
      </c>
      <c r="L3" s="29">
        <f>AVERAGE(J3:K3)</f>
        <v>1.000001809981111</v>
      </c>
      <c r="M3" s="29">
        <f>STDEV(J3:K3)</f>
        <v>1.9849058852095292E-6</v>
      </c>
      <c r="N3" s="25">
        <v>473.75560646859162</v>
      </c>
      <c r="O3" s="25">
        <v>470.99910611601354</v>
      </c>
      <c r="P3" s="25">
        <f>(N3/473.76)</f>
        <v>0.99999072625082663</v>
      </c>
      <c r="Q3" s="25">
        <f>(O3/471)</f>
        <v>0.99999810215714124</v>
      </c>
      <c r="R3" s="30">
        <f>AVERAGE(P3:Q3)</f>
        <v>0.99999441420398394</v>
      </c>
      <c r="S3" s="30">
        <f>STDEV(P3:Q3)</f>
        <v>5.2155533724578335E-6</v>
      </c>
      <c r="T3" s="25">
        <v>450.03036524330599</v>
      </c>
      <c r="U3" s="25">
        <v>464.63781161857997</v>
      </c>
      <c r="V3" s="25">
        <f>(T3/450.03)</f>
        <v>1.0000008115976846</v>
      </c>
      <c r="W3" s="25">
        <f>(U3/464.64)</f>
        <v>0.99999529015706778</v>
      </c>
      <c r="X3" s="31">
        <f>AVERAGE(V3:W3)</f>
        <v>0.99999805087737625</v>
      </c>
      <c r="Y3" s="31">
        <f>STDEV(V3:W3)</f>
        <v>3.9042481020787131E-6</v>
      </c>
      <c r="Z3" s="25">
        <v>423.30744536640418</v>
      </c>
      <c r="AA3" s="25">
        <v>427.00978221449526</v>
      </c>
      <c r="AB3" s="25">
        <f>(Z3/423.31)</f>
        <v>0.99999396509981853</v>
      </c>
      <c r="AC3" s="25">
        <f>(AA3/427.01)</f>
        <v>0.99999948997563348</v>
      </c>
      <c r="AD3" s="32">
        <f>AVERAGE(AB3:AC3)</f>
        <v>0.99999672753772595</v>
      </c>
      <c r="AE3" s="32">
        <f>STDEV(AB3:AC3)</f>
        <v>3.9066771539682957E-6</v>
      </c>
      <c r="AF3" s="25">
        <v>414.55043754690502</v>
      </c>
      <c r="AG3" s="25">
        <v>420.44308483525299</v>
      </c>
      <c r="AH3" s="25">
        <f>(AF3/414.55)</f>
        <v>1.0000010554743819</v>
      </c>
      <c r="AI3" s="25">
        <f>(AG3/420.44)</f>
        <v>1.0000073371592926</v>
      </c>
      <c r="AJ3" s="33">
        <f>AVERAGE(AH3:AI3)</f>
        <v>1.0000041963168371</v>
      </c>
      <c r="AK3" s="33">
        <f>STDEV(AH3:AI3)</f>
        <v>4.4418219976194619E-6</v>
      </c>
    </row>
    <row r="4" spans="1:37" x14ac:dyDescent="0.35">
      <c r="A4" s="9">
        <v>17</v>
      </c>
      <c r="B4" s="25">
        <v>412.24076607969812</v>
      </c>
      <c r="C4" s="25">
        <v>382.92712263996555</v>
      </c>
      <c r="D4" s="25">
        <f t="shared" ref="D4:D15" si="0">(B4/453.01)</f>
        <v>0.91000367779894065</v>
      </c>
      <c r="E4" s="25">
        <f t="shared" ref="E4:E15" si="1">(C4/446.05)</f>
        <v>0.85848474978133738</v>
      </c>
      <c r="F4" s="28">
        <f t="shared" ref="F4:F13" si="2">AVERAGE(D4:E4)</f>
        <v>0.88424421379013896</v>
      </c>
      <c r="G4" s="28">
        <f t="shared" ref="G4:G13" si="3">STDEV(D4:E4)</f>
        <v>3.6429383360708889E-2</v>
      </c>
      <c r="H4" s="25">
        <v>337.29706141403898</v>
      </c>
      <c r="I4" s="25">
        <v>356.00868669980838</v>
      </c>
      <c r="J4" s="25">
        <f t="shared" ref="J4:J15" si="4">(H4/419.76)</f>
        <v>0.80354741141137553</v>
      </c>
      <c r="K4" s="25">
        <f t="shared" ref="K4:K15" si="5">(I4/417.38)</f>
        <v>0.85296057956732085</v>
      </c>
      <c r="L4" s="29">
        <f t="shared" ref="L4" si="6">AVERAGE(J4:K4)</f>
        <v>0.82825399548934819</v>
      </c>
      <c r="M4" s="29">
        <f t="shared" ref="M4:M13" si="7">STDEV(J4:K4)</f>
        <v>3.4940386282980102E-2</v>
      </c>
      <c r="N4" s="25">
        <v>426.23766271743898</v>
      </c>
      <c r="O4" s="25">
        <v>415.1112177434922</v>
      </c>
      <c r="P4" s="25">
        <f t="shared" ref="P4:P15" si="8">(N4/473.76)</f>
        <v>0.89969111515839029</v>
      </c>
      <c r="Q4" s="25">
        <f t="shared" ref="Q4:Q15" si="9">(O4/471)</f>
        <v>0.88134016506049295</v>
      </c>
      <c r="R4" s="30">
        <f t="shared" ref="R4" si="10">AVERAGE(P4:Q4)</f>
        <v>0.89051564010944162</v>
      </c>
      <c r="S4" s="30">
        <f t="shared" ref="S4:S13" si="11">STDEV(P4:Q4)</f>
        <v>1.2976081255439144E-2</v>
      </c>
      <c r="T4" s="25">
        <v>359.38961566212879</v>
      </c>
      <c r="U4" s="25">
        <v>363.37237160399661</v>
      </c>
      <c r="V4" s="25">
        <f t="shared" ref="V4:V15" si="12">(T4/450.03)</f>
        <v>0.79859035100355269</v>
      </c>
      <c r="W4" s="25">
        <f t="shared" ref="W4:W15" si="13">(U4/464.64)</f>
        <v>0.78205141960226543</v>
      </c>
      <c r="X4" s="31">
        <f t="shared" ref="X4" si="14">AVERAGE(V4:W4)</f>
        <v>0.79032088530290912</v>
      </c>
      <c r="Y4" s="31">
        <f t="shared" ref="Y4:Y13" si="15">STDEV(V4:W4)</f>
        <v>1.169479054742935E-2</v>
      </c>
      <c r="Z4" s="25">
        <v>351.76226094043346</v>
      </c>
      <c r="AA4" s="25">
        <v>350.53920971574843</v>
      </c>
      <c r="AB4" s="25">
        <f t="shared" ref="AB4:AB15" si="16">(Z4/423.31)</f>
        <v>0.83098027672493791</v>
      </c>
      <c r="AC4" s="25">
        <f t="shared" ref="AC4:AC15" si="17">(AA4/427.01)</f>
        <v>0.82091569217523808</v>
      </c>
      <c r="AD4" s="32">
        <f t="shared" ref="AD4:AD13" si="18">AVERAGE(AB4:AC4)</f>
        <v>0.82594798445008799</v>
      </c>
      <c r="AE4" s="32">
        <f t="shared" ref="AE4:AE13" si="19">STDEV(AB4:AC4)</f>
        <v>7.1167359849181036E-3</v>
      </c>
      <c r="AF4" s="25">
        <v>364.50878151069412</v>
      </c>
      <c r="AG4" s="25">
        <v>353.9998624958651</v>
      </c>
      <c r="AH4" s="25">
        <f t="shared" ref="AH4:AH15" si="20">(AF4/414.55)</f>
        <v>0.87928785794402153</v>
      </c>
      <c r="AI4" s="25">
        <f t="shared" ref="AI4:AI15" si="21">(AG4/420.44)</f>
        <v>0.84197474668410499</v>
      </c>
      <c r="AJ4" s="33">
        <f t="shared" ref="AJ4" si="22">AVERAGE(AH4:AI4)</f>
        <v>0.86063130231406326</v>
      </c>
      <c r="AK4" s="33">
        <f t="shared" ref="AK4:AK13" si="23">STDEV(AH4:AI4)</f>
        <v>2.6384353999055109E-2</v>
      </c>
    </row>
    <row r="5" spans="1:37" x14ac:dyDescent="0.35">
      <c r="A5" s="9">
        <v>41</v>
      </c>
      <c r="B5" s="25">
        <v>361.53576862223701</v>
      </c>
      <c r="C5" s="25">
        <v>381.28300094718372</v>
      </c>
      <c r="D5" s="25">
        <f t="shared" si="0"/>
        <v>0.79807458692354916</v>
      </c>
      <c r="E5" s="25">
        <f t="shared" si="1"/>
        <v>0.85479879149688087</v>
      </c>
      <c r="F5" s="28">
        <f t="shared" si="2"/>
        <v>0.82643668921021507</v>
      </c>
      <c r="G5" s="28">
        <f t="shared" si="3"/>
        <v>4.0110069711215827E-2</v>
      </c>
      <c r="H5" s="25">
        <v>331.00529746315146</v>
      </c>
      <c r="I5" s="25">
        <v>332.1952428707919</v>
      </c>
      <c r="J5" s="25">
        <f t="shared" si="4"/>
        <v>0.78855845593470431</v>
      </c>
      <c r="K5" s="25">
        <f t="shared" si="5"/>
        <v>0.79590599183188437</v>
      </c>
      <c r="L5" s="29">
        <f>AVERAGE(J5:K5)</f>
        <v>0.7922322238832944</v>
      </c>
      <c r="M5" s="29">
        <f t="shared" si="7"/>
        <v>5.1954924579076097E-3</v>
      </c>
      <c r="N5" s="25">
        <v>381.80543287614836</v>
      </c>
      <c r="O5" s="25">
        <v>372.46828930179055</v>
      </c>
      <c r="P5" s="25">
        <f t="shared" si="8"/>
        <v>0.80590474686792546</v>
      </c>
      <c r="Q5" s="25">
        <f t="shared" si="9"/>
        <v>0.79080316199955536</v>
      </c>
      <c r="R5" s="30">
        <f>AVERAGE(P5:Q5)</f>
        <v>0.79835395443374035</v>
      </c>
      <c r="S5" s="30">
        <f t="shared" si="11"/>
        <v>1.0678433067088653E-2</v>
      </c>
      <c r="T5" s="25">
        <v>347.34216427249197</v>
      </c>
      <c r="U5" s="25">
        <v>357.70986066137226</v>
      </c>
      <c r="V5" s="25">
        <f t="shared" si="12"/>
        <v>0.77182002149299378</v>
      </c>
      <c r="W5" s="25">
        <f t="shared" si="13"/>
        <v>0.76986454171266416</v>
      </c>
      <c r="X5" s="31">
        <f>AVERAGE(V5:W5)</f>
        <v>0.77084228160282897</v>
      </c>
      <c r="Y5" s="31">
        <f t="shared" si="15"/>
        <v>1.3827330131442521E-3</v>
      </c>
      <c r="Z5" s="25">
        <v>348.98376293724704</v>
      </c>
      <c r="AA5" s="25">
        <v>352.06250573852196</v>
      </c>
      <c r="AB5" s="25">
        <f t="shared" si="16"/>
        <v>0.82441653383394442</v>
      </c>
      <c r="AC5" s="25">
        <f t="shared" si="17"/>
        <v>0.82448304662308136</v>
      </c>
      <c r="AD5" s="32">
        <f t="shared" si="18"/>
        <v>0.82444979022851284</v>
      </c>
      <c r="AE5" s="32">
        <f t="shared" si="19"/>
        <v>4.703164423436194E-5</v>
      </c>
      <c r="AF5" s="25">
        <v>357.38206636090899</v>
      </c>
      <c r="AG5" s="25">
        <v>344.24824313692625</v>
      </c>
      <c r="AH5" s="25">
        <f t="shared" si="20"/>
        <v>0.86209640902402362</v>
      </c>
      <c r="AI5" s="25">
        <f t="shared" si="21"/>
        <v>0.81878090366503242</v>
      </c>
      <c r="AJ5" s="33">
        <f>AVERAGE(AH5:AI5)</f>
        <v>0.84043865634452808</v>
      </c>
      <c r="AK5" s="33">
        <f t="shared" si="23"/>
        <v>3.0628687569864917E-2</v>
      </c>
    </row>
    <row r="6" spans="1:37" x14ac:dyDescent="0.35">
      <c r="A6" s="9">
        <v>65</v>
      </c>
      <c r="B6" s="25">
        <v>345.514034856558</v>
      </c>
      <c r="C6" s="25">
        <v>348.15270041480073</v>
      </c>
      <c r="D6" s="25">
        <f t="shared" si="0"/>
        <v>0.76270730195041614</v>
      </c>
      <c r="E6" s="25">
        <f t="shared" si="1"/>
        <v>0.78052393322452807</v>
      </c>
      <c r="F6" s="28">
        <f t="shared" si="2"/>
        <v>0.7716156175874721</v>
      </c>
      <c r="G6" s="28">
        <f t="shared" si="3"/>
        <v>1.2598260791824863E-2</v>
      </c>
      <c r="H6" s="25">
        <v>307.25416915360034</v>
      </c>
      <c r="I6" s="25">
        <v>306.67621126879908</v>
      </c>
      <c r="J6" s="25">
        <f t="shared" si="4"/>
        <v>0.73197581749952434</v>
      </c>
      <c r="K6" s="25">
        <f t="shared" si="5"/>
        <v>0.7347649893832936</v>
      </c>
      <c r="L6" s="29">
        <f t="shared" ref="L6:L13" si="24">AVERAGE(J6:K6)</f>
        <v>0.73337040344140902</v>
      </c>
      <c r="M6" s="29">
        <f t="shared" si="7"/>
        <v>1.9722423529080998E-3</v>
      </c>
      <c r="N6" s="25">
        <v>358.11464301987883</v>
      </c>
      <c r="O6" s="25">
        <v>349.51455983472249</v>
      </c>
      <c r="P6" s="25">
        <f t="shared" si="8"/>
        <v>0.75589885811355717</v>
      </c>
      <c r="Q6" s="25">
        <f t="shared" si="9"/>
        <v>0.74206912916076961</v>
      </c>
      <c r="R6" s="30">
        <f t="shared" ref="R6:R13" si="25">AVERAGE(P6:Q6)</f>
        <v>0.74898399363716339</v>
      </c>
      <c r="S6" s="30">
        <f t="shared" si="11"/>
        <v>9.7790951244880117E-3</v>
      </c>
      <c r="T6" s="25">
        <v>344.70535152279098</v>
      </c>
      <c r="U6" s="25">
        <v>332.44151182814039</v>
      </c>
      <c r="V6" s="25">
        <f t="shared" si="12"/>
        <v>0.76596082821765432</v>
      </c>
      <c r="W6" s="25">
        <f t="shared" si="13"/>
        <v>0.71548190390009558</v>
      </c>
      <c r="X6" s="31">
        <f t="shared" ref="X6:X13" si="26">AVERAGE(V6:W6)</f>
        <v>0.74072136605887495</v>
      </c>
      <c r="Y6" s="31">
        <f t="shared" si="15"/>
        <v>3.56939896919483E-2</v>
      </c>
      <c r="Z6" s="25">
        <v>338.34094640849986</v>
      </c>
      <c r="AA6" s="25">
        <v>344.76366533236364</v>
      </c>
      <c r="AB6" s="25">
        <f t="shared" si="16"/>
        <v>0.79927463657485021</v>
      </c>
      <c r="AC6" s="25">
        <f t="shared" si="17"/>
        <v>0.8073901438663349</v>
      </c>
      <c r="AD6" s="32">
        <f t="shared" si="18"/>
        <v>0.80333239022059255</v>
      </c>
      <c r="AE6" s="32">
        <f t="shared" si="19"/>
        <v>5.7385302385776962E-3</v>
      </c>
      <c r="AF6" s="25">
        <v>350.07533256636026</v>
      </c>
      <c r="AG6" s="25">
        <v>346.0110557442809</v>
      </c>
      <c r="AH6" s="25">
        <f t="shared" si="20"/>
        <v>0.84447070936282775</v>
      </c>
      <c r="AI6" s="25">
        <f t="shared" si="21"/>
        <v>0.82297368410303706</v>
      </c>
      <c r="AJ6" s="33">
        <f t="shared" ref="AJ6:AJ13" si="27">AVERAGE(AH6:AI6)</f>
        <v>0.83372219673293246</v>
      </c>
      <c r="AK6" s="33">
        <f t="shared" si="23"/>
        <v>1.5200692336536502E-2</v>
      </c>
    </row>
    <row r="7" spans="1:37" x14ac:dyDescent="0.35">
      <c r="A7" s="9">
        <v>113</v>
      </c>
      <c r="B7" s="25">
        <v>323.194138067018</v>
      </c>
      <c r="C7" s="25">
        <v>325.23602197133789</v>
      </c>
      <c r="D7" s="25">
        <f t="shared" si="0"/>
        <v>0.71343709425182222</v>
      </c>
      <c r="E7" s="25">
        <f t="shared" si="1"/>
        <v>0.72914700587678039</v>
      </c>
      <c r="F7" s="34">
        <f t="shared" si="2"/>
        <v>0.7212920500643013</v>
      </c>
      <c r="G7" s="34">
        <f t="shared" si="3"/>
        <v>1.110858504184929E-2</v>
      </c>
      <c r="H7" s="25">
        <v>293.34470586593056</v>
      </c>
      <c r="I7" s="25">
        <v>293.23113678281226</v>
      </c>
      <c r="J7" s="25">
        <f t="shared" si="4"/>
        <v>0.6988391125069815</v>
      </c>
      <c r="K7" s="25">
        <f t="shared" si="5"/>
        <v>0.70255195932438608</v>
      </c>
      <c r="L7" s="29">
        <f t="shared" si="24"/>
        <v>0.70069553591568379</v>
      </c>
      <c r="M7" s="29">
        <f t="shared" si="7"/>
        <v>2.6253791620936698E-3</v>
      </c>
      <c r="N7" s="25">
        <v>339.8795062643789</v>
      </c>
      <c r="O7" s="25">
        <v>312.59774754739976</v>
      </c>
      <c r="P7" s="25">
        <f t="shared" si="8"/>
        <v>0.71740861673501122</v>
      </c>
      <c r="Q7" s="25">
        <f t="shared" si="9"/>
        <v>0.66368948523864069</v>
      </c>
      <c r="R7" s="30">
        <f t="shared" si="25"/>
        <v>0.69054905098682595</v>
      </c>
      <c r="S7" s="30">
        <f t="shared" si="11"/>
        <v>3.7985162160535449E-2</v>
      </c>
      <c r="T7" s="25">
        <v>337.52365045525153</v>
      </c>
      <c r="U7" s="25">
        <v>345.58246230877177</v>
      </c>
      <c r="V7" s="25">
        <f t="shared" si="12"/>
        <v>0.75000255639679925</v>
      </c>
      <c r="W7" s="25">
        <f t="shared" si="13"/>
        <v>0.74376390820586213</v>
      </c>
      <c r="X7" s="31">
        <f t="shared" si="26"/>
        <v>0.74688323230133069</v>
      </c>
      <c r="Y7" s="31">
        <f t="shared" si="15"/>
        <v>4.411390441248819E-3</v>
      </c>
      <c r="Z7" s="25">
        <v>329.90457441926895</v>
      </c>
      <c r="AA7" s="25">
        <v>337.20792087017554</v>
      </c>
      <c r="AB7" s="25">
        <f t="shared" si="16"/>
        <v>0.77934510032663762</v>
      </c>
      <c r="AC7" s="25">
        <f t="shared" si="17"/>
        <v>0.78969560635623415</v>
      </c>
      <c r="AD7" s="32">
        <f t="shared" si="18"/>
        <v>0.78452035334143588</v>
      </c>
      <c r="AE7" s="32">
        <f t="shared" si="19"/>
        <v>7.3189130022399537E-3</v>
      </c>
      <c r="AF7" s="25">
        <v>344.31231183672253</v>
      </c>
      <c r="AG7" s="25">
        <v>342.92155992502268</v>
      </c>
      <c r="AH7" s="25">
        <f t="shared" si="20"/>
        <v>0.83056883810571103</v>
      </c>
      <c r="AI7" s="25">
        <f t="shared" si="21"/>
        <v>0.81562543983689151</v>
      </c>
      <c r="AJ7" s="33">
        <f t="shared" si="27"/>
        <v>0.82309713897130132</v>
      </c>
      <c r="AK7" s="33">
        <f t="shared" si="23"/>
        <v>1.0566578249853596E-2</v>
      </c>
    </row>
    <row r="8" spans="1:37" s="12" customFormat="1" x14ac:dyDescent="0.35">
      <c r="A8" s="12">
        <v>161</v>
      </c>
      <c r="B8" s="26">
        <v>317.02285828290201</v>
      </c>
      <c r="C8" s="26">
        <v>313.48882107136251</v>
      </c>
      <c r="D8" s="26">
        <f t="shared" si="0"/>
        <v>0.69981426079535114</v>
      </c>
      <c r="E8" s="26">
        <f t="shared" si="1"/>
        <v>0.7028109428794137</v>
      </c>
      <c r="F8" s="34">
        <f t="shared" si="2"/>
        <v>0.70131260183738242</v>
      </c>
      <c r="G8" s="34">
        <f t="shared" si="3"/>
        <v>2.1189742227008738E-3</v>
      </c>
      <c r="H8" s="26">
        <v>279.91083237046314</v>
      </c>
      <c r="I8" s="26">
        <v>288.52997543179248</v>
      </c>
      <c r="J8" s="26">
        <f t="shared" si="4"/>
        <v>0.66683541159344184</v>
      </c>
      <c r="K8" s="26">
        <f t="shared" si="5"/>
        <v>0.6912884552009978</v>
      </c>
      <c r="L8" s="29">
        <f t="shared" si="24"/>
        <v>0.67906193339721987</v>
      </c>
      <c r="M8" s="29">
        <f t="shared" si="7"/>
        <v>1.7290912955553177E-2</v>
      </c>
      <c r="N8" s="26">
        <v>332.87993735396901</v>
      </c>
      <c r="O8" s="26">
        <v>325.44905961145901</v>
      </c>
      <c r="P8" s="26">
        <f t="shared" si="8"/>
        <v>0.70263411295586164</v>
      </c>
      <c r="Q8" s="26">
        <f t="shared" si="9"/>
        <v>0.69097464885660087</v>
      </c>
      <c r="R8" s="30">
        <f t="shared" si="25"/>
        <v>0.6968043809062312</v>
      </c>
      <c r="S8" s="30">
        <f t="shared" si="11"/>
        <v>8.2444861295883961E-3</v>
      </c>
      <c r="T8" s="26">
        <v>327.351299925212</v>
      </c>
      <c r="U8" s="26">
        <v>338.12223397929398</v>
      </c>
      <c r="V8" s="26">
        <f t="shared" si="12"/>
        <v>0.72739883991114374</v>
      </c>
      <c r="W8" s="26">
        <f t="shared" si="13"/>
        <v>0.72770797602292958</v>
      </c>
      <c r="X8" s="31">
        <f t="shared" si="26"/>
        <v>0.72755340796703671</v>
      </c>
      <c r="Y8" s="31">
        <f t="shared" si="15"/>
        <v>2.185922409534143E-4</v>
      </c>
      <c r="Z8" s="26">
        <v>325.68541893383599</v>
      </c>
      <c r="AA8" s="26">
        <v>327.093129490926</v>
      </c>
      <c r="AB8" s="26">
        <f t="shared" si="16"/>
        <v>0.76937804194050696</v>
      </c>
      <c r="AC8" s="26">
        <f t="shared" si="17"/>
        <v>0.76600812508120653</v>
      </c>
      <c r="AD8" s="32">
        <f t="shared" si="18"/>
        <v>0.76769308351085674</v>
      </c>
      <c r="AE8" s="32">
        <f t="shared" si="19"/>
        <v>2.3828910632462115E-3</v>
      </c>
      <c r="AF8" s="26">
        <v>334.46738501884897</v>
      </c>
      <c r="AG8" s="26">
        <v>335.00959783041702</v>
      </c>
      <c r="AH8" s="26">
        <f t="shared" si="20"/>
        <v>0.8068203715326232</v>
      </c>
      <c r="AI8" s="26">
        <f t="shared" si="21"/>
        <v>0.79680714924939833</v>
      </c>
      <c r="AJ8" s="33">
        <f t="shared" si="27"/>
        <v>0.80181376039101071</v>
      </c>
      <c r="AK8" s="33">
        <f t="shared" si="23"/>
        <v>7.0804173779965545E-3</v>
      </c>
    </row>
    <row r="9" spans="1:37" x14ac:dyDescent="0.35">
      <c r="A9" s="9">
        <v>233</v>
      </c>
      <c r="B9" s="25">
        <v>316.43260955924802</v>
      </c>
      <c r="C9" s="25">
        <v>310.01707309258808</v>
      </c>
      <c r="D9" s="25">
        <f t="shared" si="0"/>
        <v>0.69851131224310281</v>
      </c>
      <c r="E9" s="25">
        <f t="shared" si="1"/>
        <v>0.69502762715522493</v>
      </c>
      <c r="F9" s="34">
        <f t="shared" si="2"/>
        <v>0.69676946969916387</v>
      </c>
      <c r="G9" s="34">
        <f t="shared" si="3"/>
        <v>2.4633373491569069E-3</v>
      </c>
      <c r="H9" s="25">
        <v>284.60872052137864</v>
      </c>
      <c r="I9" s="25">
        <v>280.19646175161887</v>
      </c>
      <c r="J9" s="25">
        <f t="shared" si="4"/>
        <v>0.67802725491085059</v>
      </c>
      <c r="K9" s="25">
        <f t="shared" si="5"/>
        <v>0.67132220458962788</v>
      </c>
      <c r="L9" s="29">
        <f t="shared" si="24"/>
        <v>0.67467472975023923</v>
      </c>
      <c r="M9" s="29">
        <f t="shared" si="7"/>
        <v>4.7411865503336134E-3</v>
      </c>
      <c r="N9" s="25">
        <v>328.88323982793906</v>
      </c>
      <c r="O9" s="25">
        <v>321.50502263344703</v>
      </c>
      <c r="P9" s="25">
        <f t="shared" si="8"/>
        <v>0.69419799018055361</v>
      </c>
      <c r="Q9" s="25">
        <f t="shared" si="9"/>
        <v>0.68260089731092788</v>
      </c>
      <c r="R9" s="30">
        <f t="shared" si="25"/>
        <v>0.6883994437457408</v>
      </c>
      <c r="S9" s="30">
        <f t="shared" si="11"/>
        <v>8.2003830101625153E-3</v>
      </c>
      <c r="T9" s="25">
        <v>324.12911478533198</v>
      </c>
      <c r="U9" s="25">
        <v>333.83804710033502</v>
      </c>
      <c r="V9" s="25">
        <f t="shared" si="12"/>
        <v>0.72023890581812766</v>
      </c>
      <c r="W9" s="25">
        <f t="shared" si="13"/>
        <v>0.71848753249899933</v>
      </c>
      <c r="X9" s="31">
        <f t="shared" si="26"/>
        <v>0.71936321915856349</v>
      </c>
      <c r="Y9" s="31">
        <f t="shared" si="15"/>
        <v>1.2384079503448373E-3</v>
      </c>
      <c r="Z9" s="25">
        <v>311.45267904563099</v>
      </c>
      <c r="AA9" s="25">
        <v>316.01843847256998</v>
      </c>
      <c r="AB9" s="25">
        <f t="shared" si="16"/>
        <v>0.73575554332671322</v>
      </c>
      <c r="AC9" s="25">
        <f t="shared" si="17"/>
        <v>0.74007268792901804</v>
      </c>
      <c r="AD9" s="32">
        <f t="shared" si="18"/>
        <v>0.73791411562786569</v>
      </c>
      <c r="AE9" s="32">
        <f t="shared" si="19"/>
        <v>3.0526822236526334E-3</v>
      </c>
      <c r="AF9" s="25">
        <v>334.06673375018198</v>
      </c>
      <c r="AG9" s="25">
        <v>329.37870477141502</v>
      </c>
      <c r="AH9" s="25">
        <f t="shared" si="20"/>
        <v>0.80585389880637315</v>
      </c>
      <c r="AI9" s="25">
        <f t="shared" si="21"/>
        <v>0.78341429162642717</v>
      </c>
      <c r="AJ9" s="33">
        <f t="shared" si="27"/>
        <v>0.79463409521640016</v>
      </c>
      <c r="AK9" s="33">
        <f t="shared" si="23"/>
        <v>1.586719840410214E-2</v>
      </c>
    </row>
    <row r="10" spans="1:37" x14ac:dyDescent="0.35">
      <c r="A10" s="9">
        <v>305</v>
      </c>
      <c r="B10" s="25">
        <v>319.57965084816556</v>
      </c>
      <c r="C10" s="25">
        <v>301.65658551489685</v>
      </c>
      <c r="D10" s="25">
        <f t="shared" si="0"/>
        <v>0.70545826990169214</v>
      </c>
      <c r="E10" s="25">
        <f t="shared" si="1"/>
        <v>0.67628424058938874</v>
      </c>
      <c r="F10" s="28">
        <f t="shared" si="2"/>
        <v>0.69087125524554049</v>
      </c>
      <c r="G10" s="28">
        <f t="shared" si="3"/>
        <v>2.0629153961264839E-2</v>
      </c>
      <c r="H10" s="25">
        <v>281.98275918878539</v>
      </c>
      <c r="I10" s="25">
        <v>277.31594581769866</v>
      </c>
      <c r="J10" s="25">
        <f t="shared" si="4"/>
        <v>0.67177139124448593</v>
      </c>
      <c r="K10" s="25">
        <f t="shared" si="5"/>
        <v>0.66442078158440432</v>
      </c>
      <c r="L10" s="29">
        <f t="shared" si="24"/>
        <v>0.66809608641444518</v>
      </c>
      <c r="M10" s="29">
        <f t="shared" si="7"/>
        <v>5.1976659364990482E-3</v>
      </c>
      <c r="N10" s="25">
        <v>328.2123133330096</v>
      </c>
      <c r="O10" s="25">
        <v>323.55063806561202</v>
      </c>
      <c r="P10" s="25">
        <f t="shared" si="8"/>
        <v>0.69278181639017566</v>
      </c>
      <c r="Q10" s="25">
        <f t="shared" si="9"/>
        <v>0.68694402986329517</v>
      </c>
      <c r="R10" s="30">
        <f t="shared" si="25"/>
        <v>0.68986292312673547</v>
      </c>
      <c r="S10" s="30">
        <f t="shared" si="11"/>
        <v>4.1279384402766617E-3</v>
      </c>
      <c r="T10" s="25">
        <v>319.34123610479298</v>
      </c>
      <c r="U10" s="25">
        <v>333.76539939982899</v>
      </c>
      <c r="V10" s="25">
        <f t="shared" si="12"/>
        <v>0.70959988468500546</v>
      </c>
      <c r="W10" s="25">
        <f t="shared" si="13"/>
        <v>0.71833117983778627</v>
      </c>
      <c r="X10" s="31">
        <f t="shared" si="26"/>
        <v>0.71396553226139581</v>
      </c>
      <c r="Y10" s="31">
        <f t="shared" si="15"/>
        <v>6.1739580110725476E-3</v>
      </c>
      <c r="Z10" s="25">
        <v>313.354045313521</v>
      </c>
      <c r="AA10" s="25">
        <v>318.86830715740501</v>
      </c>
      <c r="AB10" s="25">
        <f t="shared" si="16"/>
        <v>0.74024720727958471</v>
      </c>
      <c r="AC10" s="25">
        <f t="shared" si="17"/>
        <v>0.74674669716729125</v>
      </c>
      <c r="AD10" s="32">
        <f t="shared" si="18"/>
        <v>0.74349695222343803</v>
      </c>
      <c r="AE10" s="32">
        <f t="shared" si="19"/>
        <v>4.5958333738506897E-3</v>
      </c>
      <c r="AF10" s="25">
        <v>330.06229927012703</v>
      </c>
      <c r="AG10" s="25">
        <v>319.30487709688998</v>
      </c>
      <c r="AH10" s="25">
        <f t="shared" si="20"/>
        <v>0.79619418470661441</v>
      </c>
      <c r="AI10" s="25">
        <f t="shared" si="21"/>
        <v>0.75945408880432397</v>
      </c>
      <c r="AJ10" s="33">
        <f t="shared" si="27"/>
        <v>0.77782413675546924</v>
      </c>
      <c r="AK10" s="33">
        <f t="shared" si="23"/>
        <v>2.5979170953953655E-2</v>
      </c>
    </row>
    <row r="11" spans="1:37" x14ac:dyDescent="0.35">
      <c r="A11" s="9">
        <v>353</v>
      </c>
      <c r="B11" s="25">
        <v>315.82922843809001</v>
      </c>
      <c r="C11" s="25">
        <v>305.82438909003503</v>
      </c>
      <c r="D11" s="25">
        <f t="shared" si="0"/>
        <v>0.69717937449082801</v>
      </c>
      <c r="E11" s="25">
        <f t="shared" si="1"/>
        <v>0.68562804414311185</v>
      </c>
      <c r="F11" s="28">
        <f t="shared" si="2"/>
        <v>0.69140370931696993</v>
      </c>
      <c r="G11" s="28">
        <f t="shared" si="3"/>
        <v>8.1680240205960573E-3</v>
      </c>
      <c r="H11" s="25">
        <v>285.62168843850077</v>
      </c>
      <c r="I11" s="25">
        <v>272.98266255585992</v>
      </c>
      <c r="J11" s="25">
        <f t="shared" si="4"/>
        <v>0.6804404622605793</v>
      </c>
      <c r="K11" s="25">
        <f t="shared" si="5"/>
        <v>0.65403867592088727</v>
      </c>
      <c r="L11" s="29">
        <f t="shared" si="24"/>
        <v>0.66723956909073334</v>
      </c>
      <c r="M11" s="29">
        <f t="shared" si="7"/>
        <v>1.8668882156234596E-2</v>
      </c>
      <c r="N11" s="25">
        <v>327.06993359407397</v>
      </c>
      <c r="O11" s="25">
        <v>322.38780848694199</v>
      </c>
      <c r="P11" s="25">
        <f t="shared" si="8"/>
        <v>0.69037051163896057</v>
      </c>
      <c r="Q11" s="25">
        <f t="shared" si="9"/>
        <v>0.6844751772546539</v>
      </c>
      <c r="R11" s="30">
        <f t="shared" si="25"/>
        <v>0.68742284444680724</v>
      </c>
      <c r="S11" s="30">
        <f t="shared" si="11"/>
        <v>4.1686309205054674E-3</v>
      </c>
      <c r="T11" s="25">
        <v>312.086500644019</v>
      </c>
      <c r="U11" s="25">
        <v>338.71957738456399</v>
      </c>
      <c r="V11" s="25">
        <f t="shared" si="12"/>
        <v>0.69347932503170684</v>
      </c>
      <c r="W11" s="25">
        <f t="shared" si="13"/>
        <v>0.72899358080355547</v>
      </c>
      <c r="X11" s="31">
        <f t="shared" si="26"/>
        <v>0.71123645291763116</v>
      </c>
      <c r="Y11" s="31">
        <f t="shared" si="15"/>
        <v>2.5112371085067656E-2</v>
      </c>
      <c r="Z11" s="25">
        <v>314.05652951110102</v>
      </c>
      <c r="AA11" s="25">
        <v>309.377541375953</v>
      </c>
      <c r="AB11" s="25">
        <f t="shared" si="16"/>
        <v>0.74190671023859822</v>
      </c>
      <c r="AC11" s="25">
        <f t="shared" si="17"/>
        <v>0.72452059992963402</v>
      </c>
      <c r="AD11" s="32">
        <f t="shared" si="18"/>
        <v>0.73321365508411618</v>
      </c>
      <c r="AE11" s="32">
        <f t="shared" si="19"/>
        <v>1.2293836497925925E-2</v>
      </c>
      <c r="AF11" s="25">
        <v>322.32217696100003</v>
      </c>
      <c r="AG11" s="25">
        <v>311.38760087837102</v>
      </c>
      <c r="AH11" s="25">
        <f t="shared" si="20"/>
        <v>0.77752304175853337</v>
      </c>
      <c r="AI11" s="25">
        <f t="shared" si="21"/>
        <v>0.74062315878215923</v>
      </c>
      <c r="AJ11" s="33">
        <f t="shared" si="27"/>
        <v>0.75907310027034636</v>
      </c>
      <c r="AK11" s="33">
        <f t="shared" si="23"/>
        <v>2.6092157477584199E-2</v>
      </c>
    </row>
    <row r="12" spans="1:37" x14ac:dyDescent="0.35">
      <c r="A12" s="9">
        <v>425</v>
      </c>
      <c r="B12" s="25">
        <v>310.33615452634399</v>
      </c>
      <c r="C12" s="25">
        <v>294.75825259886301</v>
      </c>
      <c r="D12" s="25">
        <f t="shared" si="0"/>
        <v>0.68505365119168227</v>
      </c>
      <c r="E12" s="25">
        <f t="shared" si="1"/>
        <v>0.66081886021491543</v>
      </c>
      <c r="F12" s="28">
        <f t="shared" si="2"/>
        <v>0.67293625570329885</v>
      </c>
      <c r="G12" s="28">
        <f t="shared" si="3"/>
        <v>1.7136585040310386E-2</v>
      </c>
      <c r="H12" s="25">
        <v>279.88661703395599</v>
      </c>
      <c r="I12" s="25">
        <v>272.54449064673503</v>
      </c>
      <c r="J12" s="25">
        <f t="shared" si="4"/>
        <v>0.66677772306545646</v>
      </c>
      <c r="K12" s="25">
        <f t="shared" si="5"/>
        <v>0.65298886062277783</v>
      </c>
      <c r="L12" s="29">
        <f t="shared" si="24"/>
        <v>0.65988329184411709</v>
      </c>
      <c r="M12" s="29">
        <f t="shared" si="7"/>
        <v>9.7501981380665598E-3</v>
      </c>
      <c r="N12" s="25">
        <v>323.29006960548901</v>
      </c>
      <c r="O12" s="25">
        <v>328.54028082213102</v>
      </c>
      <c r="P12" s="25">
        <f t="shared" si="8"/>
        <v>0.6823920753239805</v>
      </c>
      <c r="Q12" s="25">
        <f t="shared" si="9"/>
        <v>0.69753775121471551</v>
      </c>
      <c r="R12" s="30">
        <f t="shared" si="25"/>
        <v>0.68996491326934795</v>
      </c>
      <c r="S12" s="30">
        <f t="shared" si="11"/>
        <v>1.070961012799233E-2</v>
      </c>
      <c r="T12" s="25">
        <v>314.18866688106999</v>
      </c>
      <c r="U12" s="25">
        <v>336.76121784564901</v>
      </c>
      <c r="V12" s="25">
        <f t="shared" si="12"/>
        <v>0.69815049414721242</v>
      </c>
      <c r="W12" s="25">
        <f t="shared" si="13"/>
        <v>0.7247787918510008</v>
      </c>
      <c r="X12" s="31">
        <f t="shared" si="26"/>
        <v>0.71146464299910661</v>
      </c>
      <c r="Y12" s="31">
        <f t="shared" si="15"/>
        <v>1.8829049877802938E-2</v>
      </c>
      <c r="Z12" s="25">
        <v>310.02474510305098</v>
      </c>
      <c r="AA12" s="25">
        <v>308.51971608052997</v>
      </c>
      <c r="AB12" s="25">
        <f t="shared" si="16"/>
        <v>0.732382285093787</v>
      </c>
      <c r="AC12" s="25">
        <f t="shared" si="17"/>
        <v>0.72251168843945102</v>
      </c>
      <c r="AD12" s="32">
        <f t="shared" si="18"/>
        <v>0.72744698676661901</v>
      </c>
      <c r="AE12" s="32">
        <f t="shared" si="19"/>
        <v>6.9795658286382223E-3</v>
      </c>
      <c r="AF12" s="25">
        <v>313.454484312901</v>
      </c>
      <c r="AG12" s="25">
        <v>317.76500959143698</v>
      </c>
      <c r="AH12" s="25">
        <f t="shared" si="20"/>
        <v>0.75613191246629119</v>
      </c>
      <c r="AI12" s="25">
        <f t="shared" si="21"/>
        <v>0.75579157452059031</v>
      </c>
      <c r="AJ12" s="33">
        <f t="shared" si="27"/>
        <v>0.7559617434934407</v>
      </c>
      <c r="AK12" s="33">
        <f t="shared" si="23"/>
        <v>2.4065526930018761E-4</v>
      </c>
    </row>
    <row r="13" spans="1:37" x14ac:dyDescent="0.35">
      <c r="A13" s="9">
        <v>497</v>
      </c>
      <c r="B13" s="25">
        <v>302.91107259923098</v>
      </c>
      <c r="C13" s="25">
        <v>298.36120861444402</v>
      </c>
      <c r="D13" s="25">
        <f t="shared" si="0"/>
        <v>0.66866310368254778</v>
      </c>
      <c r="E13" s="25">
        <f t="shared" si="1"/>
        <v>0.66889633138536941</v>
      </c>
      <c r="F13" s="28">
        <f t="shared" si="2"/>
        <v>0.6687797175339586</v>
      </c>
      <c r="G13" s="28">
        <f t="shared" si="3"/>
        <v>1.6491689022574022E-4</v>
      </c>
      <c r="H13" s="25">
        <v>278.46743174615102</v>
      </c>
      <c r="I13" s="25">
        <v>271.71283550371197</v>
      </c>
      <c r="J13" s="25">
        <f t="shared" si="4"/>
        <v>0.66339677850712553</v>
      </c>
      <c r="K13" s="25">
        <f t="shared" si="5"/>
        <v>0.65099629954408922</v>
      </c>
      <c r="L13" s="29">
        <f t="shared" si="24"/>
        <v>0.65719653902560737</v>
      </c>
      <c r="M13" s="29">
        <f t="shared" si="7"/>
        <v>8.7684627647241012E-3</v>
      </c>
      <c r="N13" s="25">
        <v>319.96137996654301</v>
      </c>
      <c r="O13" s="25">
        <v>327.39866456365797</v>
      </c>
      <c r="P13" s="25">
        <f t="shared" si="8"/>
        <v>0.67536596581928199</v>
      </c>
      <c r="Q13" s="25">
        <f t="shared" si="9"/>
        <v>0.69511393750245853</v>
      </c>
      <c r="R13" s="30">
        <f t="shared" si="25"/>
        <v>0.68523995166087026</v>
      </c>
      <c r="S13" s="30">
        <f t="shared" si="11"/>
        <v>1.3963924691854056E-2</v>
      </c>
      <c r="T13" s="25">
        <v>317.17930244507198</v>
      </c>
      <c r="U13" s="25">
        <v>336.46360731791498</v>
      </c>
      <c r="V13" s="25">
        <f t="shared" si="12"/>
        <v>0.70479590792852032</v>
      </c>
      <c r="W13" s="25">
        <f t="shared" si="13"/>
        <v>0.72413827332540248</v>
      </c>
      <c r="X13" s="31">
        <f t="shared" si="26"/>
        <v>0.71446709062696145</v>
      </c>
      <c r="Y13" s="31">
        <f t="shared" si="15"/>
        <v>1.3677117736323408E-2</v>
      </c>
      <c r="Z13" s="25">
        <v>308.39046269224798</v>
      </c>
      <c r="AA13" s="25">
        <v>304.35483977956602</v>
      </c>
      <c r="AB13" s="25">
        <f t="shared" si="16"/>
        <v>0.72852156266624457</v>
      </c>
      <c r="AC13" s="25">
        <f t="shared" si="17"/>
        <v>0.7127581081931712</v>
      </c>
      <c r="AD13" s="32">
        <f t="shared" si="18"/>
        <v>0.72063983542970789</v>
      </c>
      <c r="AE13" s="32">
        <f t="shared" si="19"/>
        <v>1.1146445552835593E-2</v>
      </c>
      <c r="AF13" s="25">
        <v>313.52062555690901</v>
      </c>
      <c r="AG13" s="25">
        <v>318.28693009961597</v>
      </c>
      <c r="AH13" s="25">
        <f t="shared" si="20"/>
        <v>0.7562914619633555</v>
      </c>
      <c r="AI13" s="25">
        <f t="shared" si="21"/>
        <v>0.75703294191707726</v>
      </c>
      <c r="AJ13" s="33">
        <f t="shared" si="27"/>
        <v>0.75666220194021638</v>
      </c>
      <c r="AK13" s="33">
        <f t="shared" si="23"/>
        <v>5.2430550339054222E-4</v>
      </c>
    </row>
    <row r="14" spans="1:37" x14ac:dyDescent="0.35">
      <c r="A14" s="9">
        <v>593</v>
      </c>
      <c r="B14" s="23">
        <v>308.82562347462402</v>
      </c>
      <c r="C14" s="23">
        <v>297.44334558911402</v>
      </c>
      <c r="D14" s="25">
        <f t="shared" si="0"/>
        <v>0.68171921916651734</v>
      </c>
      <c r="E14" s="25">
        <f t="shared" si="1"/>
        <v>0.66683857322971418</v>
      </c>
      <c r="F14" s="28">
        <f t="shared" ref="F14" si="28">AVERAGE(D14:E14)</f>
        <v>0.67427889619811576</v>
      </c>
      <c r="G14" s="28">
        <f t="shared" ref="G14" si="29">STDEV(D14:E14)</f>
        <v>1.052220565034956E-2</v>
      </c>
      <c r="H14" s="23">
        <v>272.92519632185599</v>
      </c>
      <c r="I14" s="23">
        <v>271.75879231405997</v>
      </c>
      <c r="J14" s="25">
        <f t="shared" si="4"/>
        <v>0.65019343511019634</v>
      </c>
      <c r="K14" s="25">
        <f t="shared" si="5"/>
        <v>0.65110640738430203</v>
      </c>
      <c r="L14" s="29">
        <f t="shared" ref="L14" si="30">AVERAGE(J14:K14)</f>
        <v>0.65064992124724919</v>
      </c>
      <c r="M14" s="29">
        <f t="shared" ref="M14" si="31">STDEV(J14:K14)</f>
        <v>6.4556888605543997E-4</v>
      </c>
      <c r="N14" s="23">
        <v>308.97169901159998</v>
      </c>
      <c r="O14" s="23">
        <v>320.14503414966401</v>
      </c>
      <c r="P14" s="25">
        <f t="shared" si="8"/>
        <v>0.65216923972391083</v>
      </c>
      <c r="Q14" s="25">
        <f t="shared" si="9"/>
        <v>0.67971344830077285</v>
      </c>
      <c r="R14" s="30">
        <f t="shared" ref="R14" si="32">AVERAGE(P14:Q14)</f>
        <v>0.66594134401234184</v>
      </c>
      <c r="S14" s="30">
        <f t="shared" ref="S14" si="33">STDEV(P14:Q14)</f>
        <v>1.9476696667115795E-2</v>
      </c>
      <c r="T14" s="23">
        <v>316.90646654357698</v>
      </c>
      <c r="U14" s="23">
        <v>330.21133353156301</v>
      </c>
      <c r="V14" s="25">
        <f t="shared" si="12"/>
        <v>0.70418964634263714</v>
      </c>
      <c r="W14" s="25">
        <f t="shared" si="13"/>
        <v>0.71068210556896316</v>
      </c>
      <c r="X14" s="31">
        <f t="shared" ref="X14" si="34">AVERAGE(V14:W14)</f>
        <v>0.70743587595580015</v>
      </c>
      <c r="Y14" s="31">
        <f t="shared" ref="Y14" si="35">STDEV(V14:W14)</f>
        <v>4.5908619455122942E-3</v>
      </c>
      <c r="Z14" s="23">
        <v>315.408655984213</v>
      </c>
      <c r="AA14" s="23">
        <v>299.99770833224801</v>
      </c>
      <c r="AB14" s="25">
        <f t="shared" si="16"/>
        <v>0.74510088583830525</v>
      </c>
      <c r="AC14" s="25">
        <f t="shared" si="17"/>
        <v>0.7025542922466641</v>
      </c>
      <c r="AD14" s="32">
        <f t="shared" ref="AD14" si="36">AVERAGE(AB14:AC14)</f>
        <v>0.72382758904248468</v>
      </c>
      <c r="AE14" s="32">
        <f t="shared" ref="AE14" si="37">STDEV(AB14:AC14)</f>
        <v>3.0084984845037563E-2</v>
      </c>
      <c r="AF14" s="23">
        <v>309.42821567894475</v>
      </c>
      <c r="AG14" s="23">
        <v>314.69550133282581</v>
      </c>
      <c r="AH14" s="25">
        <f t="shared" si="20"/>
        <v>0.74641952883595408</v>
      </c>
      <c r="AI14" s="25">
        <f t="shared" si="21"/>
        <v>0.74849086988113833</v>
      </c>
      <c r="AJ14" s="33">
        <f t="shared" ref="AJ14" si="38">AVERAGE(AH14:AI14)</f>
        <v>0.74745519935854621</v>
      </c>
      <c r="AK14" s="33">
        <f t="shared" ref="AK14" si="39">STDEV(AH14:AI14)</f>
        <v>1.4646592991998137E-3</v>
      </c>
    </row>
    <row r="15" spans="1:37" x14ac:dyDescent="0.35">
      <c r="A15" s="9">
        <v>737</v>
      </c>
      <c r="B15" s="23">
        <v>312.24320719439959</v>
      </c>
      <c r="C15" s="23">
        <v>297.81945203742498</v>
      </c>
      <c r="D15" s="25">
        <f t="shared" si="0"/>
        <v>0.68926338755082583</v>
      </c>
      <c r="E15" s="25">
        <f t="shared" si="1"/>
        <v>0.66768176670199519</v>
      </c>
      <c r="F15" s="28">
        <f t="shared" ref="F15" si="40">AVERAGE(D15:E15)</f>
        <v>0.67847257712641051</v>
      </c>
      <c r="G15" s="28">
        <f t="shared" ref="G15" si="41">STDEV(D15:E15)</f>
        <v>1.526051045120512E-2</v>
      </c>
      <c r="H15" s="23">
        <v>280.63178197835219</v>
      </c>
      <c r="I15" s="23">
        <v>273.91369136028266</v>
      </c>
      <c r="J15" s="25">
        <f t="shared" si="4"/>
        <v>0.66855293972353769</v>
      </c>
      <c r="K15" s="25">
        <f t="shared" si="5"/>
        <v>0.65626932617826117</v>
      </c>
      <c r="L15" s="29">
        <f t="shared" ref="L15" si="42">AVERAGE(J15:K15)</f>
        <v>0.66241113295089948</v>
      </c>
      <c r="M15" s="29">
        <f t="shared" ref="M15" si="43">STDEV(J15:K15)</f>
        <v>8.685826435339954E-3</v>
      </c>
      <c r="N15" s="23">
        <v>309.63731667082499</v>
      </c>
      <c r="O15" s="23">
        <v>316.44708149514503</v>
      </c>
      <c r="P15" s="25">
        <f t="shared" si="8"/>
        <v>0.65357420776516584</v>
      </c>
      <c r="Q15" s="25">
        <f t="shared" si="9"/>
        <v>0.67186216877950111</v>
      </c>
      <c r="R15" s="30">
        <f t="shared" ref="R15" si="44">AVERAGE(P15:Q15)</f>
        <v>0.66271818827233342</v>
      </c>
      <c r="S15" s="30">
        <f t="shared" ref="S15" si="45">STDEV(P15:Q15)</f>
        <v>1.2931541247311685E-2</v>
      </c>
      <c r="T15" s="23">
        <v>320.22619381653698</v>
      </c>
      <c r="U15" s="23">
        <v>322.59668318592202</v>
      </c>
      <c r="V15" s="25">
        <f t="shared" si="12"/>
        <v>0.71156632628166339</v>
      </c>
      <c r="W15" s="25">
        <f t="shared" si="13"/>
        <v>0.69429382572727705</v>
      </c>
      <c r="X15" s="31">
        <f t="shared" ref="X15" si="46">AVERAGE(V15:W15)</f>
        <v>0.70293007600447022</v>
      </c>
      <c r="Y15" s="31">
        <f t="shared" ref="Y15" si="47">STDEV(V15:W15)</f>
        <v>1.2213502270054981E-2</v>
      </c>
      <c r="Z15" s="23">
        <v>311.07963717363299</v>
      </c>
      <c r="AA15" s="23">
        <v>316.290074100509</v>
      </c>
      <c r="AB15" s="25">
        <f t="shared" si="16"/>
        <v>0.73487429348145095</v>
      </c>
      <c r="AC15" s="25">
        <f t="shared" si="17"/>
        <v>0.74070882204283039</v>
      </c>
      <c r="AD15" s="32">
        <f t="shared" ref="AD15" si="48">AVERAGE(AB15:AC15)</f>
        <v>0.73779155776214067</v>
      </c>
      <c r="AE15" s="32">
        <f t="shared" ref="AE15" si="49">STDEV(AB15:AC15)</f>
        <v>4.1256347107779994E-3</v>
      </c>
      <c r="AF15" s="23">
        <v>305.38569469875301</v>
      </c>
      <c r="AG15" s="23">
        <v>319.78255886782802</v>
      </c>
      <c r="AH15" s="25">
        <f t="shared" si="20"/>
        <v>0.73666794041431194</v>
      </c>
      <c r="AI15" s="25">
        <f t="shared" si="21"/>
        <v>0.76059023610462373</v>
      </c>
      <c r="AJ15" s="33">
        <f t="shared" ref="AJ15" si="50">AVERAGE(AH15:AI15)</f>
        <v>0.74862908825946783</v>
      </c>
      <c r="AK15" s="33">
        <f t="shared" ref="AK15" si="51">STDEV(AH15:AI15)</f>
        <v>1.6915617504169186E-2</v>
      </c>
    </row>
    <row r="16" spans="1:37" x14ac:dyDescent="0.35">
      <c r="N16" s="11"/>
    </row>
    <row r="17" spans="7:28" x14ac:dyDescent="0.35">
      <c r="N17" s="11"/>
    </row>
    <row r="18" spans="7:28" x14ac:dyDescent="0.35">
      <c r="N18" s="11"/>
    </row>
    <row r="19" spans="7:28" x14ac:dyDescent="0.35">
      <c r="G19" s="13"/>
      <c r="J19" s="13"/>
      <c r="M19" s="13"/>
      <c r="N19" s="11"/>
      <c r="V19" s="13"/>
      <c r="Y19" s="13"/>
      <c r="AB19" s="13"/>
    </row>
    <row r="20" spans="7:28" x14ac:dyDescent="0.35">
      <c r="N20" s="11"/>
    </row>
  </sheetData>
  <mergeCells count="7">
    <mergeCell ref="Z1:AE1"/>
    <mergeCell ref="AF1:AK1"/>
    <mergeCell ref="A1:A2"/>
    <mergeCell ref="B1:G1"/>
    <mergeCell ref="H1:M1"/>
    <mergeCell ref="N1:S1"/>
    <mergeCell ref="T1:Y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C83A6-60DE-4C20-9C02-3E7A454A63D8}">
  <dimension ref="A1:AK15"/>
  <sheetViews>
    <sheetView topLeftCell="S1" zoomScale="87" zoomScaleNormal="87" workbookViewId="0">
      <selection activeCell="AG15" sqref="AG15"/>
    </sheetView>
  </sheetViews>
  <sheetFormatPr defaultRowHeight="14.5" x14ac:dyDescent="0.35"/>
  <cols>
    <col min="1" max="19" width="8.7265625" style="9"/>
    <col min="20" max="20" width="9.36328125" style="9" bestFit="1" customWidth="1"/>
    <col min="21" max="16384" width="8.7265625" style="9"/>
  </cols>
  <sheetData>
    <row r="1" spans="1:37" x14ac:dyDescent="0.35">
      <c r="A1" s="51" t="s">
        <v>0</v>
      </c>
      <c r="B1" s="52" t="s">
        <v>3</v>
      </c>
      <c r="C1" s="52"/>
      <c r="D1" s="52"/>
      <c r="E1" s="52"/>
      <c r="F1" s="52"/>
      <c r="G1" s="52"/>
      <c r="H1" s="53" t="s">
        <v>4</v>
      </c>
      <c r="I1" s="53"/>
      <c r="J1" s="53"/>
      <c r="K1" s="53"/>
      <c r="L1" s="53"/>
      <c r="M1" s="53"/>
      <c r="N1" s="54" t="s">
        <v>5</v>
      </c>
      <c r="O1" s="54"/>
      <c r="P1" s="54"/>
      <c r="Q1" s="54"/>
      <c r="R1" s="54"/>
      <c r="S1" s="54"/>
      <c r="T1" s="55" t="s">
        <v>6</v>
      </c>
      <c r="U1" s="55"/>
      <c r="V1" s="55"/>
      <c r="W1" s="55"/>
      <c r="X1" s="55"/>
      <c r="Y1" s="55"/>
      <c r="Z1" s="49" t="s">
        <v>7</v>
      </c>
      <c r="AA1" s="49"/>
      <c r="AB1" s="49"/>
      <c r="AC1" s="49"/>
      <c r="AD1" s="49"/>
      <c r="AE1" s="49"/>
      <c r="AF1" s="50" t="s">
        <v>8</v>
      </c>
      <c r="AG1" s="50"/>
      <c r="AH1" s="50"/>
      <c r="AI1" s="50"/>
      <c r="AJ1" s="50"/>
      <c r="AK1" s="50"/>
    </row>
    <row r="2" spans="1:37" x14ac:dyDescent="0.35">
      <c r="A2" s="51"/>
      <c r="B2" s="14">
        <v>1</v>
      </c>
      <c r="C2" s="14">
        <v>2</v>
      </c>
      <c r="D2" s="15">
        <v>0.01</v>
      </c>
      <c r="E2" s="15">
        <v>0.02</v>
      </c>
      <c r="F2" s="16" t="s">
        <v>1</v>
      </c>
      <c r="G2" s="16" t="s">
        <v>2</v>
      </c>
      <c r="H2" s="14">
        <v>1</v>
      </c>
      <c r="I2" s="14">
        <v>2</v>
      </c>
      <c r="J2" s="15">
        <v>0.01</v>
      </c>
      <c r="K2" s="15">
        <v>0.02</v>
      </c>
      <c r="L2" s="17" t="s">
        <v>1</v>
      </c>
      <c r="M2" s="17" t="s">
        <v>2</v>
      </c>
      <c r="N2" s="14">
        <v>1</v>
      </c>
      <c r="O2" s="14">
        <v>2</v>
      </c>
      <c r="P2" s="15">
        <v>0.01</v>
      </c>
      <c r="Q2" s="15">
        <v>0.02</v>
      </c>
      <c r="R2" s="18" t="s">
        <v>1</v>
      </c>
      <c r="S2" s="18" t="s">
        <v>2</v>
      </c>
      <c r="T2" s="14">
        <v>1</v>
      </c>
      <c r="U2" s="14">
        <v>2</v>
      </c>
      <c r="V2" s="15">
        <v>0.01</v>
      </c>
      <c r="W2" s="15">
        <v>0.02</v>
      </c>
      <c r="X2" s="19" t="s">
        <v>1</v>
      </c>
      <c r="Y2" s="19" t="s">
        <v>2</v>
      </c>
      <c r="Z2" s="14">
        <v>1</v>
      </c>
      <c r="AA2" s="14">
        <v>2</v>
      </c>
      <c r="AB2" s="15">
        <v>0.01</v>
      </c>
      <c r="AC2" s="15">
        <v>0.02</v>
      </c>
      <c r="AD2" s="20" t="s">
        <v>1</v>
      </c>
      <c r="AE2" s="20" t="s">
        <v>2</v>
      </c>
      <c r="AF2" s="14">
        <v>1</v>
      </c>
      <c r="AG2" s="14">
        <v>2</v>
      </c>
      <c r="AH2" s="15">
        <v>0.01</v>
      </c>
      <c r="AI2" s="15">
        <v>0.02</v>
      </c>
      <c r="AJ2" s="21" t="s">
        <v>1</v>
      </c>
      <c r="AK2" s="21" t="s">
        <v>2</v>
      </c>
    </row>
    <row r="3" spans="1:37" x14ac:dyDescent="0.35">
      <c r="A3" s="9">
        <v>0</v>
      </c>
      <c r="B3" s="25">
        <v>402.14754974139566</v>
      </c>
      <c r="C3" s="25">
        <v>401.84018717065698</v>
      </c>
      <c r="D3" s="25">
        <f>(B3/402.15)</f>
        <v>0.99999390710281155</v>
      </c>
      <c r="E3" s="25">
        <f>(C3/401.84)</f>
        <v>1.000000465784036</v>
      </c>
      <c r="F3" s="28">
        <f>AVERAGE(D3:E3)</f>
        <v>0.99999718644342384</v>
      </c>
      <c r="G3" s="28">
        <f>STDEV(D3:E3)</f>
        <v>4.6376879694534264E-6</v>
      </c>
      <c r="H3" s="25">
        <v>406.85517135639822</v>
      </c>
      <c r="I3" s="25">
        <v>414.30142286044054</v>
      </c>
      <c r="J3" s="25">
        <f>(H3/406.86)</f>
        <v>0.99998813192842306</v>
      </c>
      <c r="K3" s="25">
        <f>(I3/414.3)</f>
        <v>1.0000034343722919</v>
      </c>
      <c r="L3" s="29">
        <f>AVERAGE(J3:K3)</f>
        <v>0.99999578315035742</v>
      </c>
      <c r="M3" s="29">
        <f>STDEV(J3:K3)</f>
        <v>1.0820461828372948E-5</v>
      </c>
      <c r="N3" s="25">
        <v>389.72227788837534</v>
      </c>
      <c r="O3" s="25">
        <v>407.75376922226405</v>
      </c>
      <c r="P3" s="25">
        <f>(N3/389.72)</f>
        <v>1.000005844935788</v>
      </c>
      <c r="Q3" s="25">
        <f>(O3/407.75)</f>
        <v>1.0000092439540504</v>
      </c>
      <c r="R3" s="30">
        <f>AVERAGE(P3:Q3)</f>
        <v>1.0000075444449192</v>
      </c>
      <c r="S3" s="30">
        <f>STDEV(P3:Q3)</f>
        <v>2.4034688627246425E-6</v>
      </c>
      <c r="T3" s="25">
        <v>410.28629021824599</v>
      </c>
      <c r="U3" s="25">
        <v>403.89412749041026</v>
      </c>
      <c r="V3" s="25">
        <f>(T3/410.29)</f>
        <v>0.99999095814727623</v>
      </c>
      <c r="W3" s="25">
        <f>(U3/403.89)</f>
        <v>1.0000102193429159</v>
      </c>
      <c r="X3" s="31">
        <f>AVERAGE(V3:W3)</f>
        <v>1.000000588745096</v>
      </c>
      <c r="Y3" s="31">
        <f>STDEV(V3:W3)</f>
        <v>1.3619722050567016E-5</v>
      </c>
      <c r="Z3" s="25">
        <v>414.95632928203401</v>
      </c>
      <c r="AA3" s="25">
        <v>415.86099341474699</v>
      </c>
      <c r="AB3" s="25">
        <f>(Z3/414.96)</f>
        <v>0.9999911540438452</v>
      </c>
      <c r="AC3" s="25">
        <f>(AA3/415.86)</f>
        <v>1.0000023888201486</v>
      </c>
      <c r="AD3" s="32">
        <f>AVERAGE(AB3:AC3)</f>
        <v>0.99999677143199683</v>
      </c>
      <c r="AE3" s="32">
        <f>STDEV(AB3:AC3)</f>
        <v>7.944186509235023E-6</v>
      </c>
      <c r="AF3" s="25">
        <v>391.23545931629701</v>
      </c>
      <c r="AG3" s="25">
        <v>394.28991824606499</v>
      </c>
      <c r="AH3" s="25">
        <f>(AF3/391.24)</f>
        <v>0.99998839412201468</v>
      </c>
      <c r="AI3" s="25">
        <f>(AG3/394.29)</f>
        <v>0.99999979265531702</v>
      </c>
      <c r="AJ3" s="33">
        <f>AVERAGE(AH3:AI3)</f>
        <v>0.99999409338866585</v>
      </c>
      <c r="AK3" s="33">
        <f>STDEV(AH3:AI3)</f>
        <v>8.059980193667093E-6</v>
      </c>
    </row>
    <row r="4" spans="1:37" x14ac:dyDescent="0.35">
      <c r="A4" s="9">
        <v>17</v>
      </c>
      <c r="B4" s="25">
        <v>353.48244337169621</v>
      </c>
      <c r="C4" s="25">
        <v>342.1318466684146</v>
      </c>
      <c r="D4" s="25">
        <f t="shared" ref="D4:D15" si="0">(B4/402.15)</f>
        <v>0.87898158242371316</v>
      </c>
      <c r="E4" s="25">
        <f t="shared" ref="E4:E15" si="1">(C4/401.84)</f>
        <v>0.85141311633589145</v>
      </c>
      <c r="F4" s="28">
        <f t="shared" ref="F4:F13" si="2">AVERAGE(D4:E4)</f>
        <v>0.86519734937980231</v>
      </c>
      <c r="G4" s="28">
        <f t="shared" ref="G4:G13" si="3">STDEV(D4:E4)</f>
        <v>1.9493849317610099E-2</v>
      </c>
      <c r="H4" s="25">
        <v>350.35560654852605</v>
      </c>
      <c r="I4" s="25">
        <v>351.27124863881681</v>
      </c>
      <c r="J4" s="25">
        <f t="shared" ref="J4:J15" si="4">(H4/406.86)</f>
        <v>0.86112079474149839</v>
      </c>
      <c r="K4" s="25">
        <f t="shared" ref="K4:K15" si="5">(I4/414.3)</f>
        <v>0.84786688061505389</v>
      </c>
      <c r="L4" s="29">
        <f t="shared" ref="L4:L13" si="6">AVERAGE(J4:K4)</f>
        <v>0.85449383767827614</v>
      </c>
      <c r="M4" s="29">
        <f t="shared" ref="M4:M13" si="7">STDEV(J4:K4)</f>
        <v>9.3719325560730812E-3</v>
      </c>
      <c r="N4" s="25">
        <v>334.46731768082776</v>
      </c>
      <c r="O4" s="25">
        <v>340.91663696901344</v>
      </c>
      <c r="P4" s="25">
        <f t="shared" ref="P4:P15" si="8">(N4/389.72)</f>
        <v>0.85822466817414489</v>
      </c>
      <c r="Q4" s="25">
        <f t="shared" ref="Q4:Q15" si="9">(O4/407.75)</f>
        <v>0.83609230403191526</v>
      </c>
      <c r="R4" s="30">
        <f t="shared" ref="R4" si="10">AVERAGE(P4:Q4)</f>
        <v>0.84715848610303013</v>
      </c>
      <c r="S4" s="30">
        <f t="shared" ref="S4:S13" si="11">STDEV(P4:Q4)</f>
        <v>1.5649944768660561E-2</v>
      </c>
      <c r="T4" s="25">
        <v>334.25817816773093</v>
      </c>
      <c r="U4" s="25">
        <v>334.51939816877899</v>
      </c>
      <c r="V4" s="25">
        <f t="shared" ref="V4:V15" si="12">(T4/410.29)</f>
        <v>0.81468760673604257</v>
      </c>
      <c r="W4" s="25">
        <f t="shared" ref="W4:W15" si="13">(U4/403.89)</f>
        <v>0.82824382423129816</v>
      </c>
      <c r="X4" s="31">
        <f t="shared" ref="X4" si="14">AVERAGE(V4:W4)</f>
        <v>0.82146571548367042</v>
      </c>
      <c r="Y4" s="31">
        <f t="shared" ref="Y4:Y13" si="15">STDEV(V4:W4)</f>
        <v>9.5856933181349465E-3</v>
      </c>
      <c r="Z4" s="25">
        <v>336.45814771452132</v>
      </c>
      <c r="AA4" s="25">
        <v>342.04024692423883</v>
      </c>
      <c r="AB4" s="25">
        <f t="shared" ref="AB4:AB15" si="16">(Z4/414.96)</f>
        <v>0.81082067600376262</v>
      </c>
      <c r="AC4" s="25">
        <f t="shared" ref="AC4:AC15" si="17">(AA4/415.86)</f>
        <v>0.82248893118895494</v>
      </c>
      <c r="AD4" s="32">
        <f t="shared" ref="AD4:AD13" si="18">AVERAGE(AB4:AC4)</f>
        <v>0.81665480359635878</v>
      </c>
      <c r="AE4" s="32">
        <f t="shared" ref="AE4:AE13" si="19">STDEV(AB4:AC4)</f>
        <v>8.2507023660645853E-3</v>
      </c>
      <c r="AF4" s="25">
        <v>331.96838563409671</v>
      </c>
      <c r="AG4" s="25">
        <v>325.04604991564236</v>
      </c>
      <c r="AH4" s="25">
        <f t="shared" ref="AH4:AH15" si="20">(AF4/391.24)</f>
        <v>0.848503183810696</v>
      </c>
      <c r="AI4" s="25">
        <f t="shared" ref="AI4:AI15" si="21">(AG4/394.29)</f>
        <v>0.82438319489624978</v>
      </c>
      <c r="AJ4" s="33">
        <f t="shared" ref="AJ4" si="22">AVERAGE(AH4:AI4)</f>
        <v>0.83644318935347295</v>
      </c>
      <c r="AK4" s="33">
        <f t="shared" ref="AK4:AK13" si="23">STDEV(AH4:AI4)</f>
        <v>1.7055407723549274E-2</v>
      </c>
    </row>
    <row r="5" spans="1:37" x14ac:dyDescent="0.35">
      <c r="A5" s="9">
        <v>41</v>
      </c>
      <c r="B5" s="25">
        <v>331.27918019261699</v>
      </c>
      <c r="C5" s="25">
        <v>333.36379330332471</v>
      </c>
      <c r="D5" s="25">
        <f t="shared" si="0"/>
        <v>0.82377018573322647</v>
      </c>
      <c r="E5" s="25">
        <f t="shared" si="1"/>
        <v>0.82959335383069066</v>
      </c>
      <c r="F5" s="28">
        <f t="shared" si="2"/>
        <v>0.82668176978195862</v>
      </c>
      <c r="G5" s="28">
        <f t="shared" si="3"/>
        <v>4.1176016497060973E-3</v>
      </c>
      <c r="H5" s="25">
        <v>336.90928284079632</v>
      </c>
      <c r="I5" s="25">
        <v>338.48222271155578</v>
      </c>
      <c r="J5" s="25">
        <f t="shared" si="4"/>
        <v>0.82807177614116967</v>
      </c>
      <c r="K5" s="25">
        <f t="shared" si="5"/>
        <v>0.81699788248022154</v>
      </c>
      <c r="L5" s="29">
        <f>AVERAGE(J5:K5)</f>
        <v>0.82253482931069555</v>
      </c>
      <c r="M5" s="29">
        <f t="shared" si="7"/>
        <v>7.8304253017951447E-3</v>
      </c>
      <c r="N5" s="25">
        <v>330.67528504308547</v>
      </c>
      <c r="O5" s="25">
        <v>331.5621436646021</v>
      </c>
      <c r="P5" s="25">
        <f t="shared" si="8"/>
        <v>0.84849452181844776</v>
      </c>
      <c r="Q5" s="25">
        <f t="shared" si="9"/>
        <v>0.81315056692728904</v>
      </c>
      <c r="R5" s="30">
        <f>AVERAGE(P5:Q5)</f>
        <v>0.8308225443728684</v>
      </c>
      <c r="S5" s="30">
        <f t="shared" si="11"/>
        <v>2.4991950177489768E-2</v>
      </c>
      <c r="T5" s="25">
        <v>312.50816893756399</v>
      </c>
      <c r="U5" s="25">
        <v>328.316249549448</v>
      </c>
      <c r="V5" s="25">
        <f t="shared" si="12"/>
        <v>0.76167629953828753</v>
      </c>
      <c r="W5" s="25">
        <f t="shared" si="13"/>
        <v>0.81288531419309218</v>
      </c>
      <c r="X5" s="31">
        <f>AVERAGE(V5:W5)</f>
        <v>0.7872808068656898</v>
      </c>
      <c r="Y5" s="31">
        <f t="shared" si="15"/>
        <v>3.621024152029366E-2</v>
      </c>
      <c r="Z5" s="25">
        <v>332.46909102533107</v>
      </c>
      <c r="AA5" s="25">
        <v>333.32889045467283</v>
      </c>
      <c r="AB5" s="25">
        <f t="shared" si="16"/>
        <v>0.80120756464558296</v>
      </c>
      <c r="AC5" s="25">
        <f t="shared" si="17"/>
        <v>0.80154112070089167</v>
      </c>
      <c r="AD5" s="32">
        <f t="shared" si="18"/>
        <v>0.80137434267323737</v>
      </c>
      <c r="AE5" s="32">
        <f t="shared" si="19"/>
        <v>2.3585974861462726E-4</v>
      </c>
      <c r="AF5" s="25">
        <v>329.53574117869289</v>
      </c>
      <c r="AG5" s="25">
        <v>317.53354117057592</v>
      </c>
      <c r="AH5" s="25">
        <f t="shared" si="20"/>
        <v>0.84228540327853207</v>
      </c>
      <c r="AI5" s="25">
        <f t="shared" si="21"/>
        <v>0.8053299377883687</v>
      </c>
      <c r="AJ5" s="33">
        <f>AVERAGE(AH5:AI5)</f>
        <v>0.82380767053345039</v>
      </c>
      <c r="AK5" s="33">
        <f t="shared" si="23"/>
        <v>2.6131460249999964E-2</v>
      </c>
    </row>
    <row r="6" spans="1:37" x14ac:dyDescent="0.35">
      <c r="A6" s="9">
        <v>65</v>
      </c>
      <c r="B6" s="25">
        <v>328.28489010659592</v>
      </c>
      <c r="C6" s="25">
        <v>328.21033901293117</v>
      </c>
      <c r="D6" s="25">
        <f t="shared" si="0"/>
        <v>0.81632448118014656</v>
      </c>
      <c r="E6" s="25">
        <f t="shared" si="1"/>
        <v>0.81676871145961372</v>
      </c>
      <c r="F6" s="28">
        <f t="shared" si="2"/>
        <v>0.81654659631988014</v>
      </c>
      <c r="G6" s="28">
        <f t="shared" si="3"/>
        <v>3.1411824301962504E-4</v>
      </c>
      <c r="H6" s="25">
        <v>324.02957969211656</v>
      </c>
      <c r="I6" s="25">
        <v>327.49438863927782</v>
      </c>
      <c r="J6" s="25">
        <f t="shared" si="4"/>
        <v>0.7964154246967422</v>
      </c>
      <c r="K6" s="25">
        <f t="shared" si="5"/>
        <v>0.79047643890725994</v>
      </c>
      <c r="L6" s="29">
        <f t="shared" si="6"/>
        <v>0.79344593180200107</v>
      </c>
      <c r="M6" s="29">
        <f t="shared" si="7"/>
        <v>4.1994971251134508E-3</v>
      </c>
      <c r="N6" s="25">
        <v>322.7787614995147</v>
      </c>
      <c r="O6" s="25">
        <v>319.97888090487885</v>
      </c>
      <c r="P6" s="25">
        <f t="shared" si="8"/>
        <v>0.82823247844481851</v>
      </c>
      <c r="Q6" s="25">
        <f t="shared" si="9"/>
        <v>0.78474281031239446</v>
      </c>
      <c r="R6" s="30">
        <f t="shared" ref="R6:R13" si="24">AVERAGE(P6:Q6)</f>
        <v>0.80648764437860643</v>
      </c>
      <c r="S6" s="30">
        <f t="shared" si="11"/>
        <v>3.0751839247989545E-2</v>
      </c>
      <c r="T6" s="25">
        <v>313.14536090677399</v>
      </c>
      <c r="U6" s="25">
        <v>316.309093581838</v>
      </c>
      <c r="V6" s="25">
        <f t="shared" si="12"/>
        <v>0.76322932780904718</v>
      </c>
      <c r="W6" s="25">
        <f t="shared" si="13"/>
        <v>0.78315653663581175</v>
      </c>
      <c r="X6" s="31">
        <f t="shared" ref="X6:X13" si="25">AVERAGE(V6:W6)</f>
        <v>0.77319293222242946</v>
      </c>
      <c r="Y6" s="31">
        <f t="shared" si="15"/>
        <v>1.4090664491525656E-2</v>
      </c>
      <c r="Z6" s="25">
        <v>328.7118588039674</v>
      </c>
      <c r="AA6" s="25">
        <v>334.20216036024067</v>
      </c>
      <c r="AB6" s="25">
        <f t="shared" si="16"/>
        <v>0.79215312031031282</v>
      </c>
      <c r="AC6" s="25">
        <f t="shared" si="17"/>
        <v>0.80364103390621999</v>
      </c>
      <c r="AD6" s="32">
        <f t="shared" si="18"/>
        <v>0.79789707710826641</v>
      </c>
      <c r="AE6" s="32">
        <f t="shared" si="19"/>
        <v>8.1231816053510975E-3</v>
      </c>
      <c r="AF6" s="25">
        <v>325.81506779439815</v>
      </c>
      <c r="AG6" s="25">
        <v>320.36709795577696</v>
      </c>
      <c r="AH6" s="25">
        <f t="shared" si="20"/>
        <v>0.83277545188221591</v>
      </c>
      <c r="AI6" s="25">
        <f t="shared" si="21"/>
        <v>0.81251641673838271</v>
      </c>
      <c r="AJ6" s="33">
        <f t="shared" ref="AJ6:AJ13" si="26">AVERAGE(AH6:AI6)</f>
        <v>0.82264593431029931</v>
      </c>
      <c r="AK6" s="33">
        <f t="shared" si="23"/>
        <v>1.4325301130501043E-2</v>
      </c>
    </row>
    <row r="7" spans="1:37" x14ac:dyDescent="0.35">
      <c r="A7" s="9">
        <v>113</v>
      </c>
      <c r="B7" s="25">
        <v>322.37146106319688</v>
      </c>
      <c r="C7" s="25">
        <v>316.6856706749781</v>
      </c>
      <c r="D7" s="25">
        <f t="shared" si="0"/>
        <v>0.80161994545119208</v>
      </c>
      <c r="E7" s="25">
        <f t="shared" si="1"/>
        <v>0.788088967437234</v>
      </c>
      <c r="F7" s="28">
        <f t="shared" si="2"/>
        <v>0.79485445644421304</v>
      </c>
      <c r="G7" s="28">
        <f t="shared" si="3"/>
        <v>9.5678463097558439E-3</v>
      </c>
      <c r="H7" s="25">
        <v>316.80903282042635</v>
      </c>
      <c r="I7" s="25">
        <v>322.75546660939762</v>
      </c>
      <c r="J7" s="25">
        <f t="shared" si="4"/>
        <v>0.77866841867086056</v>
      </c>
      <c r="K7" s="25">
        <f t="shared" si="5"/>
        <v>0.77903805602075216</v>
      </c>
      <c r="L7" s="29">
        <f t="shared" si="6"/>
        <v>0.77885323734580636</v>
      </c>
      <c r="M7" s="29">
        <f t="shared" si="7"/>
        <v>2.6137307668817059E-4</v>
      </c>
      <c r="N7" s="25">
        <v>317.09712077457914</v>
      </c>
      <c r="O7" s="25">
        <v>313.02430861667654</v>
      </c>
      <c r="P7" s="25">
        <f t="shared" si="8"/>
        <v>0.81365370207990129</v>
      </c>
      <c r="Q7" s="25">
        <f t="shared" si="9"/>
        <v>0.76768683903538082</v>
      </c>
      <c r="R7" s="30">
        <f t="shared" si="24"/>
        <v>0.79067027055764105</v>
      </c>
      <c r="S7" s="30">
        <f t="shared" si="11"/>
        <v>3.250348056865373E-2</v>
      </c>
      <c r="T7" s="25">
        <v>307.83164372945299</v>
      </c>
      <c r="U7" s="25">
        <v>300.74850640618899</v>
      </c>
      <c r="V7" s="25">
        <f t="shared" si="12"/>
        <v>0.75027820256270683</v>
      </c>
      <c r="W7" s="25">
        <f t="shared" si="13"/>
        <v>0.74462974177669417</v>
      </c>
      <c r="X7" s="31">
        <f t="shared" si="25"/>
        <v>0.74745397216970044</v>
      </c>
      <c r="Y7" s="31">
        <f t="shared" si="15"/>
        <v>3.9940649250558525E-3</v>
      </c>
      <c r="Z7" s="25">
        <v>328.01929458769899</v>
      </c>
      <c r="AA7" s="25">
        <v>328.48376803992198</v>
      </c>
      <c r="AB7" s="25">
        <f t="shared" si="16"/>
        <v>0.79048413000698625</v>
      </c>
      <c r="AC7" s="25">
        <f t="shared" si="17"/>
        <v>0.78989027086019803</v>
      </c>
      <c r="AD7" s="32">
        <f t="shared" si="18"/>
        <v>0.79018720043359214</v>
      </c>
      <c r="AE7" s="32">
        <f t="shared" si="19"/>
        <v>4.1992182976360951E-4</v>
      </c>
      <c r="AF7" s="25">
        <v>323.35079263240357</v>
      </c>
      <c r="AG7" s="25">
        <v>320.483648178355</v>
      </c>
      <c r="AH7" s="25">
        <f t="shared" si="20"/>
        <v>0.82647682402720468</v>
      </c>
      <c r="AI7" s="25">
        <f t="shared" si="21"/>
        <v>0.81281201191598818</v>
      </c>
      <c r="AJ7" s="33">
        <f t="shared" si="26"/>
        <v>0.81964441797159648</v>
      </c>
      <c r="AK7" s="33">
        <f t="shared" si="23"/>
        <v>9.6624813074812545E-3</v>
      </c>
    </row>
    <row r="8" spans="1:37" s="12" customFormat="1" x14ac:dyDescent="0.35">
      <c r="A8" s="12">
        <v>161</v>
      </c>
      <c r="B8" s="26">
        <v>311.43173950520901</v>
      </c>
      <c r="C8" s="26">
        <v>311.66703209469603</v>
      </c>
      <c r="D8" s="26">
        <f t="shared" si="0"/>
        <v>0.77441685815046379</v>
      </c>
      <c r="E8" s="26">
        <f t="shared" si="1"/>
        <v>0.77559982105986469</v>
      </c>
      <c r="F8" s="28">
        <f t="shared" si="2"/>
        <v>0.77500833960516424</v>
      </c>
      <c r="G8" s="28">
        <f t="shared" si="3"/>
        <v>8.3648109512954208E-4</v>
      </c>
      <c r="H8" s="26">
        <v>312.39284392107697</v>
      </c>
      <c r="I8" s="26">
        <v>307.91934550971843</v>
      </c>
      <c r="J8" s="26">
        <f t="shared" si="4"/>
        <v>0.76781409802162159</v>
      </c>
      <c r="K8" s="26">
        <f t="shared" si="5"/>
        <v>0.74322796405918035</v>
      </c>
      <c r="L8" s="29">
        <f t="shared" si="6"/>
        <v>0.75552103104040103</v>
      </c>
      <c r="M8" s="29">
        <f t="shared" si="7"/>
        <v>1.7385022048003088E-2</v>
      </c>
      <c r="N8" s="26">
        <v>312.313687233623</v>
      </c>
      <c r="O8" s="26">
        <v>311.440656281543</v>
      </c>
      <c r="P8" s="26">
        <f t="shared" si="8"/>
        <v>0.80137967575085445</v>
      </c>
      <c r="Q8" s="26">
        <f t="shared" si="9"/>
        <v>0.76380295838514534</v>
      </c>
      <c r="R8" s="30">
        <f t="shared" si="24"/>
        <v>0.78259131706799989</v>
      </c>
      <c r="S8" s="30">
        <f t="shared" si="11"/>
        <v>2.6570751664023212E-2</v>
      </c>
      <c r="T8" s="26">
        <v>304.51603552202897</v>
      </c>
      <c r="U8" s="26">
        <v>299.13765010689599</v>
      </c>
      <c r="V8" s="26">
        <f t="shared" si="12"/>
        <v>0.7421970691999048</v>
      </c>
      <c r="W8" s="26">
        <f t="shared" si="13"/>
        <v>0.74064138777116539</v>
      </c>
      <c r="X8" s="31">
        <f t="shared" si="25"/>
        <v>0.7414192284855351</v>
      </c>
      <c r="Y8" s="31">
        <f t="shared" si="15"/>
        <v>1.1000328876276124E-3</v>
      </c>
      <c r="Z8" s="26">
        <v>326.501773049988</v>
      </c>
      <c r="AA8" s="26">
        <v>320.25547343587601</v>
      </c>
      <c r="AB8" s="26">
        <f t="shared" si="16"/>
        <v>0.78682709911795845</v>
      </c>
      <c r="AC8" s="26">
        <f t="shared" si="17"/>
        <v>0.77010405770181312</v>
      </c>
      <c r="AD8" s="32">
        <f t="shared" si="18"/>
        <v>0.77846557840988573</v>
      </c>
      <c r="AE8" s="32">
        <f t="shared" si="19"/>
        <v>1.182497598741985E-2</v>
      </c>
      <c r="AF8" s="26">
        <v>301.81331440385594</v>
      </c>
      <c r="AG8" s="26">
        <v>319.24113148329053</v>
      </c>
      <c r="AH8" s="26">
        <f t="shared" si="20"/>
        <v>0.77142754934018998</v>
      </c>
      <c r="AI8" s="26">
        <f t="shared" si="21"/>
        <v>0.80966073571049357</v>
      </c>
      <c r="AJ8" s="33">
        <f t="shared" si="26"/>
        <v>0.79054414252534178</v>
      </c>
      <c r="AK8" s="33">
        <f t="shared" si="23"/>
        <v>2.7034945348810756E-2</v>
      </c>
    </row>
    <row r="9" spans="1:37" x14ac:dyDescent="0.35">
      <c r="A9" s="9">
        <v>233</v>
      </c>
      <c r="B9" s="25">
        <v>303.93774664269802</v>
      </c>
      <c r="C9" s="25">
        <v>296.23278718042201</v>
      </c>
      <c r="D9" s="25">
        <f t="shared" si="0"/>
        <v>0.75578203815167977</v>
      </c>
      <c r="E9" s="25">
        <f t="shared" si="1"/>
        <v>0.73719088985770964</v>
      </c>
      <c r="F9" s="28">
        <f t="shared" si="2"/>
        <v>0.74648646400469465</v>
      </c>
      <c r="G9" s="28">
        <f t="shared" si="3"/>
        <v>1.3145927028710992E-2</v>
      </c>
      <c r="H9" s="25">
        <v>305.99803133019299</v>
      </c>
      <c r="I9" s="25">
        <v>309.23260496273298</v>
      </c>
      <c r="J9" s="25">
        <f t="shared" si="4"/>
        <v>0.7520966212706901</v>
      </c>
      <c r="K9" s="25">
        <f t="shared" si="5"/>
        <v>0.74639779136551521</v>
      </c>
      <c r="L9" s="29">
        <f t="shared" si="6"/>
        <v>0.7492472063181026</v>
      </c>
      <c r="M9" s="29">
        <f t="shared" si="7"/>
        <v>4.0296812707778587E-3</v>
      </c>
      <c r="N9" s="25">
        <v>311.74710149176201</v>
      </c>
      <c r="O9" s="25">
        <v>318.67906295082798</v>
      </c>
      <c r="P9" s="25">
        <f t="shared" si="8"/>
        <v>0.79992584802361177</v>
      </c>
      <c r="Q9" s="25">
        <f t="shared" si="9"/>
        <v>0.7815550286960834</v>
      </c>
      <c r="R9" s="30">
        <f t="shared" si="24"/>
        <v>0.79074043835984753</v>
      </c>
      <c r="S9" s="30">
        <f t="shared" si="11"/>
        <v>1.2990130922448205E-2</v>
      </c>
      <c r="T9" s="25">
        <v>296.81913165621302</v>
      </c>
      <c r="U9" s="25">
        <v>293.46495855288401</v>
      </c>
      <c r="V9" s="25">
        <f t="shared" si="12"/>
        <v>0.7234374019747325</v>
      </c>
      <c r="W9" s="25">
        <f t="shared" si="13"/>
        <v>0.72659624787165822</v>
      </c>
      <c r="X9" s="31">
        <f t="shared" si="25"/>
        <v>0.72501682492319541</v>
      </c>
      <c r="Y9" s="31">
        <f t="shared" si="15"/>
        <v>2.2336413544394797E-3</v>
      </c>
      <c r="Z9" s="25">
        <v>315.35860014039298</v>
      </c>
      <c r="AA9" s="25">
        <v>309.665192176625</v>
      </c>
      <c r="AB9" s="25">
        <f t="shared" si="16"/>
        <v>0.75997349175918882</v>
      </c>
      <c r="AC9" s="25">
        <f t="shared" si="17"/>
        <v>0.74463808054784064</v>
      </c>
      <c r="AD9" s="32">
        <f t="shared" si="18"/>
        <v>0.75230578615351473</v>
      </c>
      <c r="AE9" s="32">
        <f t="shared" si="19"/>
        <v>1.0843773259828507E-2</v>
      </c>
      <c r="AF9" s="25">
        <v>286.4126348584108</v>
      </c>
      <c r="AG9" s="25">
        <v>302.9542889855511</v>
      </c>
      <c r="AH9" s="25">
        <f t="shared" si="20"/>
        <v>0.73206378401597683</v>
      </c>
      <c r="AI9" s="25">
        <f t="shared" si="21"/>
        <v>0.76835397546362094</v>
      </c>
      <c r="AJ9" s="33">
        <f t="shared" si="26"/>
        <v>0.75020887973979888</v>
      </c>
      <c r="AK9" s="33">
        <f t="shared" si="23"/>
        <v>2.5661040463187207E-2</v>
      </c>
    </row>
    <row r="10" spans="1:37" x14ac:dyDescent="0.35">
      <c r="A10" s="9">
        <v>305</v>
      </c>
      <c r="B10" s="25">
        <v>309.325655899423</v>
      </c>
      <c r="C10" s="25">
        <v>284.04025041892601</v>
      </c>
      <c r="D10" s="25">
        <f t="shared" si="0"/>
        <v>0.76917979833252026</v>
      </c>
      <c r="E10" s="25">
        <f t="shared" si="1"/>
        <v>0.70684912009487866</v>
      </c>
      <c r="F10" s="28">
        <f t="shared" si="2"/>
        <v>0.73801445921369946</v>
      </c>
      <c r="G10" s="28">
        <f t="shared" si="3"/>
        <v>4.4074445257793138E-2</v>
      </c>
      <c r="H10" s="25">
        <v>309.78602956739098</v>
      </c>
      <c r="I10" s="25">
        <v>311.68531233204698</v>
      </c>
      <c r="J10" s="25">
        <f t="shared" si="4"/>
        <v>0.7614069448149019</v>
      </c>
      <c r="K10" s="25">
        <f t="shared" si="5"/>
        <v>0.75231791535613557</v>
      </c>
      <c r="L10" s="29">
        <f t="shared" si="6"/>
        <v>0.75686243008551868</v>
      </c>
      <c r="M10" s="29">
        <f t="shared" si="7"/>
        <v>6.4269143646979669E-3</v>
      </c>
      <c r="N10" s="25">
        <v>310.04021788956402</v>
      </c>
      <c r="O10" s="25">
        <v>316.27038080932499</v>
      </c>
      <c r="P10" s="25">
        <f t="shared" si="8"/>
        <v>0.79554607895300211</v>
      </c>
      <c r="Q10" s="25">
        <f t="shared" si="9"/>
        <v>0.77564777635640714</v>
      </c>
      <c r="R10" s="30">
        <f t="shared" si="24"/>
        <v>0.78559692765470457</v>
      </c>
      <c r="S10" s="30">
        <f t="shared" si="11"/>
        <v>1.4070224700154194E-2</v>
      </c>
      <c r="T10" s="25">
        <v>296.93766339715802</v>
      </c>
      <c r="U10" s="25">
        <v>293.317136449511</v>
      </c>
      <c r="V10" s="25">
        <f t="shared" si="12"/>
        <v>0.72372629943980604</v>
      </c>
      <c r="W10" s="25">
        <f t="shared" si="13"/>
        <v>0.7262302519238184</v>
      </c>
      <c r="X10" s="31">
        <f t="shared" si="25"/>
        <v>0.72497827568181217</v>
      </c>
      <c r="Y10" s="31">
        <f t="shared" si="15"/>
        <v>1.7705617812140413E-3</v>
      </c>
      <c r="Z10" s="25">
        <v>299.08867003517798</v>
      </c>
      <c r="AA10" s="25">
        <v>298.197145102148</v>
      </c>
      <c r="AB10" s="25">
        <f t="shared" si="16"/>
        <v>0.72076506177746769</v>
      </c>
      <c r="AC10" s="25">
        <f t="shared" si="17"/>
        <v>0.71706137907504441</v>
      </c>
      <c r="AD10" s="32">
        <f t="shared" si="18"/>
        <v>0.71891322042625605</v>
      </c>
      <c r="AE10" s="32">
        <f t="shared" si="19"/>
        <v>2.6188991542468137E-3</v>
      </c>
      <c r="AF10" s="25">
        <v>292.70991878376725</v>
      </c>
      <c r="AG10" s="25">
        <v>299.73303995478238</v>
      </c>
      <c r="AH10" s="25">
        <f t="shared" si="20"/>
        <v>0.74815948978572555</v>
      </c>
      <c r="AI10" s="25">
        <f t="shared" si="21"/>
        <v>0.76018422976687816</v>
      </c>
      <c r="AJ10" s="33">
        <f t="shared" si="26"/>
        <v>0.75417185977630186</v>
      </c>
      <c r="AK10" s="33">
        <f t="shared" si="23"/>
        <v>8.5027751826780087E-3</v>
      </c>
    </row>
    <row r="11" spans="1:37" x14ac:dyDescent="0.35">
      <c r="A11" s="9">
        <v>353</v>
      </c>
      <c r="B11" s="25">
        <v>306.07835887880702</v>
      </c>
      <c r="C11" s="25">
        <v>277.593484482924</v>
      </c>
      <c r="D11" s="25">
        <f t="shared" si="0"/>
        <v>0.76110495804751221</v>
      </c>
      <c r="E11" s="25">
        <f t="shared" si="1"/>
        <v>0.69080600359079236</v>
      </c>
      <c r="F11" s="28">
        <f t="shared" si="2"/>
        <v>0.72595548081915229</v>
      </c>
      <c r="G11" s="28">
        <f t="shared" si="3"/>
        <v>4.9708867406670874E-2</v>
      </c>
      <c r="H11" s="25">
        <v>305.61107121431098</v>
      </c>
      <c r="I11" s="25">
        <v>310.824806197952</v>
      </c>
      <c r="J11" s="25">
        <f t="shared" si="4"/>
        <v>0.7511455321592464</v>
      </c>
      <c r="K11" s="25">
        <f t="shared" si="5"/>
        <v>0.7502409032052908</v>
      </c>
      <c r="L11" s="29">
        <f t="shared" si="6"/>
        <v>0.7506932176822686</v>
      </c>
      <c r="M11" s="29">
        <f t="shared" si="7"/>
        <v>6.3966926779969761E-4</v>
      </c>
      <c r="N11" s="25">
        <v>315.48405425031399</v>
      </c>
      <c r="O11" s="25">
        <v>319.94617182392102</v>
      </c>
      <c r="P11" s="25">
        <f t="shared" si="8"/>
        <v>0.80951466245076975</v>
      </c>
      <c r="Q11" s="25">
        <f t="shared" si="9"/>
        <v>0.78466259184284737</v>
      </c>
      <c r="R11" s="30">
        <f t="shared" si="24"/>
        <v>0.7970886271468085</v>
      </c>
      <c r="S11" s="30">
        <f t="shared" si="11"/>
        <v>1.7573067653388803E-2</v>
      </c>
      <c r="T11" s="25">
        <v>290.93677418076902</v>
      </c>
      <c r="U11" s="25">
        <v>291.03650085654402</v>
      </c>
      <c r="V11" s="25">
        <f t="shared" si="12"/>
        <v>0.70910032947614854</v>
      </c>
      <c r="W11" s="25">
        <f t="shared" si="13"/>
        <v>0.72058357685643126</v>
      </c>
      <c r="X11" s="31">
        <f t="shared" si="25"/>
        <v>0.71484195316628996</v>
      </c>
      <c r="Y11" s="31">
        <f t="shared" si="15"/>
        <v>8.1198820926405707E-3</v>
      </c>
      <c r="Z11" s="25">
        <v>292.98196180082653</v>
      </c>
      <c r="AA11" s="25">
        <v>295.56688475502449</v>
      </c>
      <c r="AB11" s="25">
        <f t="shared" si="16"/>
        <v>0.70604868373054397</v>
      </c>
      <c r="AC11" s="25">
        <f t="shared" si="17"/>
        <v>0.71073650929405208</v>
      </c>
      <c r="AD11" s="32">
        <f t="shared" si="18"/>
        <v>0.70839259651229802</v>
      </c>
      <c r="AE11" s="32">
        <f t="shared" si="19"/>
        <v>3.3147932449762315E-3</v>
      </c>
      <c r="AF11" s="25">
        <v>291.3477276500771</v>
      </c>
      <c r="AG11" s="25">
        <v>291.69204790216293</v>
      </c>
      <c r="AH11" s="25">
        <f t="shared" si="20"/>
        <v>0.74467776211552272</v>
      </c>
      <c r="AI11" s="25">
        <f t="shared" si="21"/>
        <v>0.73979063101311959</v>
      </c>
      <c r="AJ11" s="33">
        <f t="shared" si="26"/>
        <v>0.7422341965643211</v>
      </c>
      <c r="AK11" s="33">
        <f t="shared" si="23"/>
        <v>3.4557235430569414E-3</v>
      </c>
    </row>
    <row r="12" spans="1:37" x14ac:dyDescent="0.35">
      <c r="A12" s="9">
        <v>425</v>
      </c>
      <c r="B12" s="25">
        <v>297.10432573443899</v>
      </c>
      <c r="C12" s="25">
        <v>277.67071814723101</v>
      </c>
      <c r="D12" s="25">
        <f t="shared" si="0"/>
        <v>0.73878981905865726</v>
      </c>
      <c r="E12" s="25">
        <f t="shared" si="1"/>
        <v>0.69099820363137321</v>
      </c>
      <c r="F12" s="28">
        <f t="shared" si="2"/>
        <v>0.71489401134501529</v>
      </c>
      <c r="G12" s="28">
        <f t="shared" si="3"/>
        <v>3.3793775352492172E-2</v>
      </c>
      <c r="H12" s="25">
        <v>299.02970891604002</v>
      </c>
      <c r="I12" s="25">
        <v>304.95626684086602</v>
      </c>
      <c r="J12" s="25">
        <f t="shared" si="4"/>
        <v>0.73496954460020647</v>
      </c>
      <c r="K12" s="25">
        <f t="shared" si="5"/>
        <v>0.7360759518244413</v>
      </c>
      <c r="L12" s="29">
        <f t="shared" si="6"/>
        <v>0.73552274821232388</v>
      </c>
      <c r="M12" s="29">
        <f t="shared" si="7"/>
        <v>7.8234805101023259E-4</v>
      </c>
      <c r="N12" s="25">
        <v>308.720822196087</v>
      </c>
      <c r="O12" s="25">
        <v>313.50156207382298</v>
      </c>
      <c r="P12" s="25">
        <f t="shared" si="8"/>
        <v>0.79216058245942467</v>
      </c>
      <c r="Q12" s="25">
        <f t="shared" si="9"/>
        <v>0.76885729509214706</v>
      </c>
      <c r="R12" s="30">
        <f t="shared" si="24"/>
        <v>0.78050893877578587</v>
      </c>
      <c r="S12" s="30">
        <f t="shared" si="11"/>
        <v>1.6477912521340801E-2</v>
      </c>
      <c r="T12" s="25">
        <v>290.41921936433602</v>
      </c>
      <c r="U12" s="25">
        <v>297.850343245771</v>
      </c>
      <c r="V12" s="25">
        <f t="shared" si="12"/>
        <v>0.70783889289121349</v>
      </c>
      <c r="W12" s="25">
        <f t="shared" si="13"/>
        <v>0.73745411682827255</v>
      </c>
      <c r="X12" s="31">
        <f t="shared" si="25"/>
        <v>0.72264650485974302</v>
      </c>
      <c r="Y12" s="31">
        <f t="shared" si="15"/>
        <v>2.094112567225263E-2</v>
      </c>
      <c r="Z12" s="25">
        <v>299.73223242226499</v>
      </c>
      <c r="AA12" s="25">
        <v>289.23928183071399</v>
      </c>
      <c r="AB12" s="25">
        <f t="shared" si="16"/>
        <v>0.72231596400198816</v>
      </c>
      <c r="AC12" s="25">
        <f t="shared" si="17"/>
        <v>0.69552080467155775</v>
      </c>
      <c r="AD12" s="32">
        <f t="shared" si="18"/>
        <v>0.70891838433677301</v>
      </c>
      <c r="AE12" s="32">
        <f t="shared" si="19"/>
        <v>1.8947038865521338E-2</v>
      </c>
      <c r="AF12" s="25">
        <v>290.58396431628751</v>
      </c>
      <c r="AG12" s="25">
        <v>292.57769859866801</v>
      </c>
      <c r="AH12" s="25">
        <f t="shared" si="20"/>
        <v>0.74272560146275302</v>
      </c>
      <c r="AI12" s="25">
        <f t="shared" si="21"/>
        <v>0.74203682213261302</v>
      </c>
      <c r="AJ12" s="33">
        <f t="shared" si="26"/>
        <v>0.74238121179768302</v>
      </c>
      <c r="AK12" s="33">
        <f t="shared" si="23"/>
        <v>4.8704053508312115E-4</v>
      </c>
    </row>
    <row r="13" spans="1:37" x14ac:dyDescent="0.35">
      <c r="A13" s="9">
        <v>497</v>
      </c>
      <c r="B13" s="25">
        <v>295.54439751027797</v>
      </c>
      <c r="C13" s="25">
        <v>277.33446389282602</v>
      </c>
      <c r="D13" s="25">
        <f t="shared" si="0"/>
        <v>0.73491084796786765</v>
      </c>
      <c r="E13" s="25">
        <f t="shared" si="1"/>
        <v>0.69016141721288582</v>
      </c>
      <c r="F13" s="28">
        <f t="shared" si="2"/>
        <v>0.71253613259037674</v>
      </c>
      <c r="G13" s="28">
        <f t="shared" si="3"/>
        <v>3.1642625941085502E-2</v>
      </c>
      <c r="H13" s="25">
        <v>298.60806978647099</v>
      </c>
      <c r="I13" s="25">
        <v>302.52967396135</v>
      </c>
      <c r="J13" s="25">
        <f t="shared" si="4"/>
        <v>0.73393321974750769</v>
      </c>
      <c r="K13" s="25">
        <f t="shared" si="5"/>
        <v>0.73021886063565045</v>
      </c>
      <c r="L13" s="29">
        <f t="shared" si="6"/>
        <v>0.73207604019157912</v>
      </c>
      <c r="M13" s="29">
        <f t="shared" si="7"/>
        <v>2.6264485157563009E-3</v>
      </c>
      <c r="N13" s="25">
        <v>312.158876414453</v>
      </c>
      <c r="O13" s="25">
        <v>310.169384027614</v>
      </c>
      <c r="P13" s="25">
        <f t="shared" si="8"/>
        <v>0.80098243973738326</v>
      </c>
      <c r="Q13" s="25">
        <f t="shared" si="9"/>
        <v>0.76068518461707912</v>
      </c>
      <c r="R13" s="30">
        <f t="shared" si="24"/>
        <v>0.78083381217723113</v>
      </c>
      <c r="S13" s="30">
        <f t="shared" si="11"/>
        <v>2.8494462358771375E-2</v>
      </c>
      <c r="T13" s="25">
        <v>289.92789080785599</v>
      </c>
      <c r="U13" s="25">
        <v>295.55166893357</v>
      </c>
      <c r="V13" s="25">
        <f t="shared" si="12"/>
        <v>0.70664137758135948</v>
      </c>
      <c r="W13" s="25">
        <f t="shared" si="13"/>
        <v>0.73176277930518208</v>
      </c>
      <c r="X13" s="31">
        <f t="shared" si="25"/>
        <v>0.71920207844327078</v>
      </c>
      <c r="Y13" s="31">
        <f t="shared" si="15"/>
        <v>1.7763513511826385E-2</v>
      </c>
      <c r="Z13" s="25">
        <v>294.03983898362299</v>
      </c>
      <c r="AA13" s="25">
        <v>289.73010207233699</v>
      </c>
      <c r="AB13" s="25">
        <f t="shared" si="16"/>
        <v>0.70859803109606467</v>
      </c>
      <c r="AC13" s="25">
        <f t="shared" si="17"/>
        <v>0.6967010582223272</v>
      </c>
      <c r="AD13" s="32">
        <f t="shared" si="18"/>
        <v>0.70264954465919593</v>
      </c>
      <c r="AE13" s="32">
        <f t="shared" si="19"/>
        <v>8.4124301946121773E-3</v>
      </c>
      <c r="AF13" s="25">
        <v>294.93612369074685</v>
      </c>
      <c r="AG13" s="25">
        <v>289.52233299003359</v>
      </c>
      <c r="AH13" s="25">
        <f t="shared" si="20"/>
        <v>0.75384961581317567</v>
      </c>
      <c r="AI13" s="25">
        <f t="shared" si="21"/>
        <v>0.73428779068714289</v>
      </c>
      <c r="AJ13" s="33">
        <f t="shared" si="26"/>
        <v>0.74406870325015928</v>
      </c>
      <c r="AK13" s="33">
        <f t="shared" si="23"/>
        <v>1.3832299199003162E-2</v>
      </c>
    </row>
    <row r="14" spans="1:37" x14ac:dyDescent="0.35">
      <c r="A14" s="9">
        <v>593</v>
      </c>
      <c r="B14" s="23">
        <v>292.20570780458064</v>
      </c>
      <c r="C14" s="23">
        <v>277.01532577608265</v>
      </c>
      <c r="D14" s="25">
        <f t="shared" si="0"/>
        <v>0.7266087474936731</v>
      </c>
      <c r="E14" s="25">
        <f t="shared" si="1"/>
        <v>0.68936722520426708</v>
      </c>
      <c r="F14" s="28">
        <f t="shared" ref="F14" si="27">AVERAGE(D14:E14)</f>
        <v>0.70798798634897009</v>
      </c>
      <c r="G14" s="28">
        <f t="shared" ref="G14" si="28">STDEV(D14:E14)</f>
        <v>2.6333732952548958E-2</v>
      </c>
      <c r="H14" s="23">
        <v>293.072080247656</v>
      </c>
      <c r="I14" s="23">
        <v>305.34709368940401</v>
      </c>
      <c r="J14" s="25">
        <f t="shared" si="4"/>
        <v>0.7203265994387652</v>
      </c>
      <c r="K14" s="25">
        <f t="shared" si="5"/>
        <v>0.73701929444702874</v>
      </c>
      <c r="L14" s="29">
        <f t="shared" ref="L14" si="29">AVERAGE(J14:K14)</f>
        <v>0.72867294694289697</v>
      </c>
      <c r="M14" s="29">
        <f t="shared" ref="M14" si="30">STDEV(J14:K14)</f>
        <v>1.1803517836621978E-2</v>
      </c>
      <c r="N14" s="23">
        <v>310.87033219778698</v>
      </c>
      <c r="O14" s="23">
        <v>306.68775722675599</v>
      </c>
      <c r="P14" s="25">
        <f t="shared" si="8"/>
        <v>0.79767610642971098</v>
      </c>
      <c r="Q14" s="25">
        <f t="shared" si="9"/>
        <v>0.75214655359106308</v>
      </c>
      <c r="R14" s="30">
        <f t="shared" ref="R14" si="31">AVERAGE(P14:Q14)</f>
        <v>0.77491133001038703</v>
      </c>
      <c r="S14" s="30">
        <f t="shared" ref="S14" si="32">STDEV(P14:Q14)</f>
        <v>3.2194255556599154E-2</v>
      </c>
      <c r="T14" s="23">
        <v>292.45987958651</v>
      </c>
      <c r="U14" s="23">
        <v>290.72726225534802</v>
      </c>
      <c r="V14" s="25">
        <f t="shared" si="12"/>
        <v>0.71281259496090565</v>
      </c>
      <c r="W14" s="25">
        <f t="shared" si="13"/>
        <v>0.71981792630505348</v>
      </c>
      <c r="X14" s="31">
        <f t="shared" ref="X14" si="33">AVERAGE(V14:W14)</f>
        <v>0.71631526063297957</v>
      </c>
      <c r="Y14" s="31">
        <f t="shared" ref="Y14" si="34">STDEV(V14:W14)</f>
        <v>4.9535172979055988E-3</v>
      </c>
      <c r="Z14" s="23">
        <v>299.51257388865201</v>
      </c>
      <c r="AA14" s="23">
        <v>289.03655169961303</v>
      </c>
      <c r="AB14" s="25">
        <f t="shared" si="16"/>
        <v>0.72178661530907084</v>
      </c>
      <c r="AC14" s="25">
        <f t="shared" si="17"/>
        <v>0.695033308564452</v>
      </c>
      <c r="AD14" s="32">
        <f t="shared" ref="AD14" si="35">AVERAGE(AB14:AC14)</f>
        <v>0.70840996193676142</v>
      </c>
      <c r="AE14" s="32">
        <f t="shared" ref="AE14" si="36">STDEV(AB14:AC14)</f>
        <v>1.8917444618283784E-2</v>
      </c>
      <c r="AF14" s="23">
        <v>300.58831478893097</v>
      </c>
      <c r="AG14" s="23">
        <v>295.53563273397401</v>
      </c>
      <c r="AH14" s="25">
        <f t="shared" si="20"/>
        <v>0.76829647988173744</v>
      </c>
      <c r="AI14" s="25">
        <f t="shared" si="21"/>
        <v>0.74953874745485305</v>
      </c>
      <c r="AJ14" s="33">
        <f t="shared" ref="AJ14" si="37">AVERAGE(AH14:AI14)</f>
        <v>0.75891761366829524</v>
      </c>
      <c r="AK14" s="33">
        <f t="shared" ref="AK14" si="38">STDEV(AH14:AI14)</f>
        <v>1.3263719798732747E-2</v>
      </c>
    </row>
    <row r="15" spans="1:37" x14ac:dyDescent="0.35">
      <c r="A15" s="9">
        <v>737</v>
      </c>
      <c r="B15" s="23">
        <v>290.44813067994102</v>
      </c>
      <c r="C15" s="23">
        <v>280.88864849919503</v>
      </c>
      <c r="D15" s="25">
        <f t="shared" si="0"/>
        <v>0.72223829585960719</v>
      </c>
      <c r="E15" s="25">
        <f t="shared" si="1"/>
        <v>0.69900619276128573</v>
      </c>
      <c r="F15" s="28">
        <f t="shared" ref="F15" si="39">AVERAGE(D15:E15)</f>
        <v>0.7106222443104464</v>
      </c>
      <c r="G15" s="28">
        <f t="shared" ref="G15" si="40">STDEV(D15:E15)</f>
        <v>1.6427577642048111E-2</v>
      </c>
      <c r="H15" s="23">
        <v>293.98806679549801</v>
      </c>
      <c r="I15" s="23">
        <v>293.94754016173101</v>
      </c>
      <c r="J15" s="25">
        <f t="shared" si="4"/>
        <v>0.72257795505947497</v>
      </c>
      <c r="K15" s="25">
        <f t="shared" si="5"/>
        <v>0.70950407956005557</v>
      </c>
      <c r="L15" s="29">
        <f t="shared" ref="L15" si="41">AVERAGE(J15:K15)</f>
        <v>0.71604101730976533</v>
      </c>
      <c r="M15" s="29">
        <f t="shared" ref="M15" si="42">STDEV(J15:K15)</f>
        <v>9.244626022028123E-3</v>
      </c>
      <c r="N15" s="23">
        <v>311.31141609479101</v>
      </c>
      <c r="O15" s="23">
        <v>301.48887564796598</v>
      </c>
      <c r="P15" s="25">
        <f t="shared" si="8"/>
        <v>0.79880790335315355</v>
      </c>
      <c r="Q15" s="25">
        <f t="shared" si="9"/>
        <v>0.73939638417649534</v>
      </c>
      <c r="R15" s="30">
        <f t="shared" ref="R15" si="43">AVERAGE(P15:Q15)</f>
        <v>0.76910214376482444</v>
      </c>
      <c r="S15" s="30">
        <f t="shared" ref="S15" si="44">STDEV(P15:Q15)</f>
        <v>4.2010288090409631E-2</v>
      </c>
      <c r="T15" s="23">
        <v>289.19598194770998</v>
      </c>
      <c r="U15" s="23">
        <v>288.71935429163699</v>
      </c>
      <c r="V15" s="25">
        <f t="shared" si="12"/>
        <v>0.70485749579007528</v>
      </c>
      <c r="W15" s="25">
        <f t="shared" si="13"/>
        <v>0.71484650348272305</v>
      </c>
      <c r="X15" s="31">
        <f t="shared" ref="X15" si="45">AVERAGE(V15:W15)</f>
        <v>0.70985199963639922</v>
      </c>
      <c r="Y15" s="31">
        <f t="shared" ref="Y15" si="46">STDEV(V15:W15)</f>
        <v>7.0632950767958247E-3</v>
      </c>
      <c r="Z15" s="23">
        <v>293.48591458002602</v>
      </c>
      <c r="AA15" s="23">
        <v>288.952405836536</v>
      </c>
      <c r="AB15" s="25">
        <f t="shared" si="16"/>
        <v>0.70726314483329966</v>
      </c>
      <c r="AC15" s="25">
        <f t="shared" si="17"/>
        <v>0.69483096675933242</v>
      </c>
      <c r="AD15" s="32">
        <f t="shared" ref="AD15" si="47">AVERAGE(AB15:AC15)</f>
        <v>0.70104705579631599</v>
      </c>
      <c r="AE15" s="32">
        <f t="shared" ref="AE15" si="48">STDEV(AB15:AC15)</f>
        <v>8.7908774210209446E-3</v>
      </c>
      <c r="AF15" s="23">
        <v>296.536827602914</v>
      </c>
      <c r="AG15" s="23">
        <v>298.921058353619</v>
      </c>
      <c r="AH15" s="25">
        <f t="shared" si="20"/>
        <v>0.75794097639023106</v>
      </c>
      <c r="AI15" s="25">
        <f t="shared" si="21"/>
        <v>0.75812487852499177</v>
      </c>
      <c r="AJ15" s="33">
        <f t="shared" ref="AJ15" si="49">AVERAGE(AH15:AI15)</f>
        <v>0.75803292745761142</v>
      </c>
      <c r="AK15" s="33">
        <f t="shared" ref="AK15" si="50">STDEV(AH15:AI15)</f>
        <v>1.300384465639847E-4</v>
      </c>
    </row>
  </sheetData>
  <mergeCells count="7">
    <mergeCell ref="Z1:AE1"/>
    <mergeCell ref="AF1:AK1"/>
    <mergeCell ref="A1:A2"/>
    <mergeCell ref="B1:G1"/>
    <mergeCell ref="H1:M1"/>
    <mergeCell ref="N1:S1"/>
    <mergeCell ref="T1:Y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5D373-5001-4F72-8E07-8835625B8004}">
  <dimension ref="A1:AK15"/>
  <sheetViews>
    <sheetView topLeftCell="A2" zoomScale="108" zoomScaleNormal="108" workbookViewId="0">
      <selection activeCell="O16" sqref="O16"/>
    </sheetView>
  </sheetViews>
  <sheetFormatPr defaultRowHeight="14.5" x14ac:dyDescent="0.35"/>
  <cols>
    <col min="1" max="16384" width="8.7265625" style="9"/>
  </cols>
  <sheetData>
    <row r="1" spans="1:37" x14ac:dyDescent="0.35">
      <c r="A1" s="51" t="s">
        <v>0</v>
      </c>
      <c r="B1" s="52" t="s">
        <v>3</v>
      </c>
      <c r="C1" s="52"/>
      <c r="D1" s="52"/>
      <c r="E1" s="52"/>
      <c r="F1" s="52"/>
      <c r="G1" s="52"/>
      <c r="H1" s="53" t="s">
        <v>4</v>
      </c>
      <c r="I1" s="53"/>
      <c r="J1" s="53"/>
      <c r="K1" s="53"/>
      <c r="L1" s="53"/>
      <c r="M1" s="53"/>
      <c r="N1" s="54" t="s">
        <v>5</v>
      </c>
      <c r="O1" s="54"/>
      <c r="P1" s="54"/>
      <c r="Q1" s="54"/>
      <c r="R1" s="54"/>
      <c r="S1" s="54"/>
      <c r="T1" s="55" t="s">
        <v>6</v>
      </c>
      <c r="U1" s="55"/>
      <c r="V1" s="55"/>
      <c r="W1" s="55"/>
      <c r="X1" s="55"/>
      <c r="Y1" s="55"/>
      <c r="Z1" s="49" t="s">
        <v>7</v>
      </c>
      <c r="AA1" s="49"/>
      <c r="AB1" s="49"/>
      <c r="AC1" s="49"/>
      <c r="AD1" s="49"/>
      <c r="AE1" s="49"/>
      <c r="AF1" s="50" t="s">
        <v>8</v>
      </c>
      <c r="AG1" s="50"/>
      <c r="AH1" s="50"/>
      <c r="AI1" s="50"/>
      <c r="AJ1" s="50"/>
      <c r="AK1" s="50"/>
    </row>
    <row r="2" spans="1:37" x14ac:dyDescent="0.35">
      <c r="A2" s="51"/>
      <c r="B2" s="14">
        <v>1</v>
      </c>
      <c r="C2" s="14">
        <v>2</v>
      </c>
      <c r="D2" s="15">
        <v>0.01</v>
      </c>
      <c r="E2" s="15">
        <v>0.02</v>
      </c>
      <c r="F2" s="16" t="s">
        <v>1</v>
      </c>
      <c r="G2" s="16" t="s">
        <v>2</v>
      </c>
      <c r="H2" s="14">
        <v>1</v>
      </c>
      <c r="I2" s="14">
        <v>2</v>
      </c>
      <c r="J2" s="15">
        <v>0.01</v>
      </c>
      <c r="K2" s="15">
        <v>0.02</v>
      </c>
      <c r="L2" s="17" t="s">
        <v>1</v>
      </c>
      <c r="M2" s="17" t="s">
        <v>2</v>
      </c>
      <c r="N2" s="14">
        <v>1</v>
      </c>
      <c r="O2" s="14">
        <v>2</v>
      </c>
      <c r="P2" s="15">
        <v>0.01</v>
      </c>
      <c r="Q2" s="15">
        <v>0.02</v>
      </c>
      <c r="R2" s="18" t="s">
        <v>1</v>
      </c>
      <c r="S2" s="18" t="s">
        <v>2</v>
      </c>
      <c r="T2" s="14">
        <v>1</v>
      </c>
      <c r="U2" s="14">
        <v>2</v>
      </c>
      <c r="V2" s="15">
        <v>0.01</v>
      </c>
      <c r="W2" s="15">
        <v>0.02</v>
      </c>
      <c r="X2" s="19" t="s">
        <v>1</v>
      </c>
      <c r="Y2" s="19" t="s">
        <v>2</v>
      </c>
      <c r="Z2" s="14">
        <v>1</v>
      </c>
      <c r="AA2" s="14">
        <v>2</v>
      </c>
      <c r="AB2" s="15">
        <v>0.01</v>
      </c>
      <c r="AC2" s="15">
        <v>0.02</v>
      </c>
      <c r="AD2" s="20" t="s">
        <v>1</v>
      </c>
      <c r="AE2" s="20" t="s">
        <v>2</v>
      </c>
      <c r="AF2" s="14">
        <v>1</v>
      </c>
      <c r="AG2" s="14">
        <v>2</v>
      </c>
      <c r="AH2" s="15">
        <v>0.01</v>
      </c>
      <c r="AI2" s="15">
        <v>0.02</v>
      </c>
      <c r="AJ2" s="21" t="s">
        <v>1</v>
      </c>
      <c r="AK2" s="21" t="s">
        <v>2</v>
      </c>
    </row>
    <row r="3" spans="1:37" x14ac:dyDescent="0.35">
      <c r="A3" s="9">
        <v>0</v>
      </c>
      <c r="B3" s="25">
        <v>390.2583347470258</v>
      </c>
      <c r="C3" s="25">
        <v>388.7166345796312</v>
      </c>
      <c r="D3" s="25">
        <f>(B3/390.26)</f>
        <v>0.99999573296526878</v>
      </c>
      <c r="E3" s="25">
        <f>(C3/388.72)</f>
        <v>0.99999134230199416</v>
      </c>
      <c r="F3" s="28">
        <f>AVERAGE(D3:E3)</f>
        <v>0.99999353763363152</v>
      </c>
      <c r="G3" s="28">
        <f>STDEV(D3:E3)</f>
        <v>3.1046677753924259E-6</v>
      </c>
      <c r="H3" s="25">
        <v>386.15104804422464</v>
      </c>
      <c r="I3" s="25">
        <v>394.90736338886546</v>
      </c>
      <c r="J3" s="25">
        <f>(H3/386.15)</f>
        <v>1.0000027140857819</v>
      </c>
      <c r="K3" s="25">
        <f>(I3/394.91)</f>
        <v>0.99999332351387771</v>
      </c>
      <c r="L3" s="29">
        <f>AVERAGE(J3:K3)</f>
        <v>0.99999801879982986</v>
      </c>
      <c r="M3" s="29">
        <f>STDEV(J3:K3)</f>
        <v>6.6401370726716878E-6</v>
      </c>
      <c r="N3" s="25">
        <v>378.98614558289518</v>
      </c>
      <c r="O3" s="25">
        <v>390.24032553855778</v>
      </c>
      <c r="P3" s="25">
        <f>(N3/378.99)</f>
        <v>0.99998982976568029</v>
      </c>
      <c r="Q3" s="25">
        <f>(O3/390.24)</f>
        <v>1.0000008342008964</v>
      </c>
      <c r="R3" s="30">
        <f>AVERAGE(P3:Q3)</f>
        <v>0.99999533198328838</v>
      </c>
      <c r="S3" s="30">
        <f>STDEV(P3:Q3)</f>
        <v>7.7813107644086951E-6</v>
      </c>
      <c r="T3" s="25">
        <v>373.08994809079957</v>
      </c>
      <c r="U3" s="25">
        <v>388.61061595092485</v>
      </c>
      <c r="V3" s="25">
        <f>(T3/373.09)</f>
        <v>0.99999986086681392</v>
      </c>
      <c r="W3" s="25">
        <f>(U3/388.61)</f>
        <v>1.0000015850104857</v>
      </c>
      <c r="X3" s="31">
        <f>AVERAGE(V3:W3)</f>
        <v>1.0000007229386498</v>
      </c>
      <c r="Y3" s="31">
        <f>STDEV(V3:W3)</f>
        <v>1.2191536820929409E-6</v>
      </c>
      <c r="Z3" s="25">
        <v>348.13635029401144</v>
      </c>
      <c r="AA3" s="25">
        <v>359.82159929014796</v>
      </c>
      <c r="AB3" s="25">
        <f>(Z3/348.14)</f>
        <v>0.99998951655659063</v>
      </c>
      <c r="AC3" s="25">
        <f>(AA3/359.82)</f>
        <v>1.0000044446949807</v>
      </c>
      <c r="AD3" s="32">
        <f>AVERAGE(AB3:AC3)</f>
        <v>0.99999698062578568</v>
      </c>
      <c r="AE3" s="32">
        <f>STDEV(AB3:AC3)</f>
        <v>1.055578788613258E-5</v>
      </c>
      <c r="AF3" s="25">
        <v>351.14929614493241</v>
      </c>
      <c r="AG3" s="25">
        <v>355.80679563206928</v>
      </c>
      <c r="AH3" s="25">
        <f>(AF3/351.15)</f>
        <v>0.9999979955715006</v>
      </c>
      <c r="AI3" s="25">
        <f>(AG3/355.81)</f>
        <v>0.99999099415999915</v>
      </c>
      <c r="AJ3" s="33">
        <f>AVERAGE(AH3:AI3)</f>
        <v>0.99999449486574987</v>
      </c>
      <c r="AK3" s="33">
        <f>STDEV(AH3:AI3)</f>
        <v>4.9507455505531398E-6</v>
      </c>
    </row>
    <row r="4" spans="1:37" x14ac:dyDescent="0.35">
      <c r="A4" s="9">
        <v>17</v>
      </c>
      <c r="B4" s="25">
        <v>0</v>
      </c>
      <c r="C4" s="25">
        <v>0</v>
      </c>
      <c r="D4" s="25">
        <f t="shared" ref="D4:D15" si="0">(B4/390.26)</f>
        <v>0</v>
      </c>
      <c r="E4" s="25">
        <f t="shared" ref="E4:E15" si="1">(C4/388.72)</f>
        <v>0</v>
      </c>
      <c r="F4" s="28">
        <f t="shared" ref="F4:F13" si="2">AVERAGE(D4:E4)</f>
        <v>0</v>
      </c>
      <c r="G4" s="28">
        <f t="shared" ref="G4:G13" si="3">STDEV(D4:E4)</f>
        <v>0</v>
      </c>
      <c r="H4" s="25">
        <v>331.70830095016021</v>
      </c>
      <c r="I4" s="25">
        <v>337.8966434296924</v>
      </c>
      <c r="J4" s="25">
        <f t="shared" ref="J4:J15" si="4">(H4/386.15)</f>
        <v>0.85901411614699008</v>
      </c>
      <c r="K4" s="25">
        <f t="shared" ref="K4:K15" si="5">(I4/394.91)</f>
        <v>0.85562949388390364</v>
      </c>
      <c r="L4" s="29">
        <f t="shared" ref="L4:L13" si="6">AVERAGE(J4:K4)</f>
        <v>0.85732180501544686</v>
      </c>
      <c r="M4" s="29">
        <f t="shared" ref="M4:M13" si="7">STDEV(J4:K4)</f>
        <v>2.3932893539833845E-3</v>
      </c>
      <c r="N4" s="25">
        <v>340.00141775720635</v>
      </c>
      <c r="O4" s="25">
        <v>340.45731293310718</v>
      </c>
      <c r="P4" s="25">
        <f t="shared" ref="P4:P15" si="8">(N4/378.99)</f>
        <v>0.89712503695930323</v>
      </c>
      <c r="Q4" s="25">
        <f t="shared" ref="Q4:Q15" si="9">(O4/390.24)</f>
        <v>0.8724305886969741</v>
      </c>
      <c r="R4" s="30">
        <f t="shared" ref="R4" si="10">AVERAGE(P4:Q4)</f>
        <v>0.88477781282813872</v>
      </c>
      <c r="S4" s="30">
        <f t="shared" ref="S4:S13" si="11">STDEV(P4:Q4)</f>
        <v>1.7461611823953289E-2</v>
      </c>
      <c r="T4" s="25">
        <v>0</v>
      </c>
      <c r="U4" s="25">
        <v>0</v>
      </c>
      <c r="V4" s="25">
        <f t="shared" ref="V4:V15" si="12">(T4/373.09)</f>
        <v>0</v>
      </c>
      <c r="W4" s="25">
        <f t="shared" ref="W4:W15" si="13">(U4/388.61)</f>
        <v>0</v>
      </c>
      <c r="X4" s="31">
        <f t="shared" ref="X4" si="14">AVERAGE(V4:W4)</f>
        <v>0</v>
      </c>
      <c r="Y4" s="31">
        <f t="shared" ref="Y4:Y13" si="15">STDEV(V4:W4)</f>
        <v>0</v>
      </c>
      <c r="Z4" s="25">
        <v>0</v>
      </c>
      <c r="AA4" s="25">
        <v>0</v>
      </c>
      <c r="AB4" s="25">
        <f t="shared" ref="AB4:AB15" si="16">(Z4/348.14)</f>
        <v>0</v>
      </c>
      <c r="AC4" s="25">
        <f t="shared" ref="AC4:AC15" si="17">(AA4/359.82)</f>
        <v>0</v>
      </c>
      <c r="AD4" s="32">
        <f t="shared" ref="AD4:AD13" si="18">AVERAGE(AB4:AC4)</f>
        <v>0</v>
      </c>
      <c r="AE4" s="32">
        <f t="shared" ref="AE4:AE13" si="19">STDEV(AB4:AC4)</f>
        <v>0</v>
      </c>
      <c r="AF4" s="25">
        <v>341.81551723733708</v>
      </c>
      <c r="AG4" s="25">
        <v>332.48962452785469</v>
      </c>
      <c r="AH4" s="25">
        <f t="shared" ref="AH4:AH15" si="20">(AF4/351.15)</f>
        <v>0.97341739210404987</v>
      </c>
      <c r="AI4" s="25">
        <f t="shared" ref="AI4:AI15" si="21">(AG4/355.81)</f>
        <v>0.93445834722985499</v>
      </c>
      <c r="AJ4" s="33">
        <f t="shared" ref="AJ4" si="22">AVERAGE(AH4:AI4)</f>
        <v>0.95393786966695249</v>
      </c>
      <c r="AK4" s="33">
        <f t="shared" ref="AK4:AK13" si="23">STDEV(AH4:AI4)</f>
        <v>2.7548204819094205E-2</v>
      </c>
    </row>
    <row r="5" spans="1:37" x14ac:dyDescent="0.35">
      <c r="A5" s="9">
        <v>41</v>
      </c>
      <c r="B5" s="25">
        <v>0</v>
      </c>
      <c r="C5" s="25">
        <v>0</v>
      </c>
      <c r="D5" s="25">
        <f t="shared" si="0"/>
        <v>0</v>
      </c>
      <c r="E5" s="25">
        <f t="shared" si="1"/>
        <v>0</v>
      </c>
      <c r="F5" s="28">
        <f t="shared" si="2"/>
        <v>0</v>
      </c>
      <c r="G5" s="28">
        <f t="shared" si="3"/>
        <v>0</v>
      </c>
      <c r="H5" s="25">
        <v>309.26763091555222</v>
      </c>
      <c r="I5" s="25">
        <v>315.26866015169628</v>
      </c>
      <c r="J5" s="25">
        <f t="shared" si="4"/>
        <v>0.80090024838936225</v>
      </c>
      <c r="K5" s="25">
        <f t="shared" si="5"/>
        <v>0.798330404780067</v>
      </c>
      <c r="L5" s="29">
        <f>AVERAGE(J5:K5)</f>
        <v>0.79961532658471457</v>
      </c>
      <c r="M5" s="29">
        <f t="shared" si="7"/>
        <v>1.8171538427215778E-3</v>
      </c>
      <c r="N5" s="25">
        <v>338.4631126881203</v>
      </c>
      <c r="O5" s="25">
        <v>336.53789983363242</v>
      </c>
      <c r="P5" s="25">
        <f t="shared" si="8"/>
        <v>0.89306607743771682</v>
      </c>
      <c r="Q5" s="25">
        <f t="shared" si="9"/>
        <v>0.86238699219360504</v>
      </c>
      <c r="R5" s="30">
        <f>AVERAGE(P5:Q5)</f>
        <v>0.87772653481566087</v>
      </c>
      <c r="S5" s="30">
        <f t="shared" si="11"/>
        <v>2.1693389216711587E-2</v>
      </c>
      <c r="T5" s="25">
        <v>0</v>
      </c>
      <c r="U5" s="25">
        <v>0</v>
      </c>
      <c r="V5" s="25">
        <f t="shared" si="12"/>
        <v>0</v>
      </c>
      <c r="W5" s="25">
        <f t="shared" si="13"/>
        <v>0</v>
      </c>
      <c r="X5" s="31">
        <f>AVERAGE(V5:W5)</f>
        <v>0</v>
      </c>
      <c r="Y5" s="31">
        <f t="shared" si="15"/>
        <v>0</v>
      </c>
      <c r="Z5" s="25">
        <v>0</v>
      </c>
      <c r="AA5" s="25">
        <v>0</v>
      </c>
      <c r="AB5" s="25">
        <f t="shared" si="16"/>
        <v>0</v>
      </c>
      <c r="AC5" s="25">
        <f t="shared" si="17"/>
        <v>0</v>
      </c>
      <c r="AD5" s="32">
        <f t="shared" si="18"/>
        <v>0</v>
      </c>
      <c r="AE5" s="32">
        <f t="shared" si="19"/>
        <v>0</v>
      </c>
      <c r="AF5" s="25">
        <v>344.78399472167894</v>
      </c>
      <c r="AG5" s="25">
        <v>337.99704687586842</v>
      </c>
      <c r="AH5" s="25">
        <f t="shared" si="20"/>
        <v>0.98187098026962538</v>
      </c>
      <c r="AI5" s="25">
        <f t="shared" si="21"/>
        <v>0.94993689574736073</v>
      </c>
      <c r="AJ5" s="33">
        <f>AVERAGE(AH5:AI5)</f>
        <v>0.96590393800849306</v>
      </c>
      <c r="AK5" s="33">
        <f t="shared" si="23"/>
        <v>2.2580807716677705E-2</v>
      </c>
    </row>
    <row r="6" spans="1:37" x14ac:dyDescent="0.35">
      <c r="A6" s="9">
        <v>65</v>
      </c>
      <c r="B6" s="25">
        <v>0</v>
      </c>
      <c r="C6" s="25">
        <v>0</v>
      </c>
      <c r="D6" s="25">
        <f t="shared" si="0"/>
        <v>0</v>
      </c>
      <c r="E6" s="25">
        <f t="shared" si="1"/>
        <v>0</v>
      </c>
      <c r="F6" s="28">
        <f t="shared" si="2"/>
        <v>0</v>
      </c>
      <c r="G6" s="28">
        <f t="shared" si="3"/>
        <v>0</v>
      </c>
      <c r="H6" s="25">
        <v>265.00569230351846</v>
      </c>
      <c r="I6" s="25">
        <v>268.09718069361423</v>
      </c>
      <c r="J6" s="25">
        <f t="shared" si="4"/>
        <v>0.68627655652859887</v>
      </c>
      <c r="K6" s="25">
        <f t="shared" si="5"/>
        <v>0.67888172164192906</v>
      </c>
      <c r="L6" s="29">
        <f t="shared" si="6"/>
        <v>0.68257913908526402</v>
      </c>
      <c r="M6" s="29">
        <f t="shared" si="7"/>
        <v>5.2289378941190769E-3</v>
      </c>
      <c r="N6" s="25">
        <v>329.05932063471846</v>
      </c>
      <c r="O6" s="25">
        <v>331.82068660255726</v>
      </c>
      <c r="P6" s="25">
        <f t="shared" si="8"/>
        <v>0.86825330651130228</v>
      </c>
      <c r="Q6" s="25">
        <f t="shared" si="9"/>
        <v>0.85029901240917705</v>
      </c>
      <c r="R6" s="30">
        <f t="shared" ref="R6:R13" si="24">AVERAGE(P6:Q6)</f>
        <v>0.85927615946023961</v>
      </c>
      <c r="S6" s="30">
        <f t="shared" si="11"/>
        <v>1.2695603111030388E-2</v>
      </c>
      <c r="T6" s="25">
        <v>0</v>
      </c>
      <c r="U6" s="25">
        <v>0</v>
      </c>
      <c r="V6" s="25">
        <f t="shared" si="12"/>
        <v>0</v>
      </c>
      <c r="W6" s="25">
        <f t="shared" si="13"/>
        <v>0</v>
      </c>
      <c r="X6" s="31">
        <f t="shared" ref="X6:X13" si="25">AVERAGE(V6:W6)</f>
        <v>0</v>
      </c>
      <c r="Y6" s="31">
        <f t="shared" si="15"/>
        <v>0</v>
      </c>
      <c r="Z6" s="25">
        <v>0</v>
      </c>
      <c r="AA6" s="25">
        <v>0</v>
      </c>
      <c r="AB6" s="25">
        <f t="shared" si="16"/>
        <v>0</v>
      </c>
      <c r="AC6" s="25">
        <f t="shared" si="17"/>
        <v>0</v>
      </c>
      <c r="AD6" s="32">
        <f t="shared" si="18"/>
        <v>0</v>
      </c>
      <c r="AE6" s="32">
        <f t="shared" si="19"/>
        <v>0</v>
      </c>
      <c r="AF6" s="25">
        <v>335.13555936636089</v>
      </c>
      <c r="AG6" s="25">
        <v>339.56373988404692</v>
      </c>
      <c r="AH6" s="25">
        <f t="shared" si="20"/>
        <v>0.95439430262383862</v>
      </c>
      <c r="AI6" s="25">
        <f t="shared" si="21"/>
        <v>0.95434006881213829</v>
      </c>
      <c r="AJ6" s="33">
        <f t="shared" ref="AJ6:AJ13" si="26">AVERAGE(AH6:AI6)</f>
        <v>0.95436718571798851</v>
      </c>
      <c r="AK6" s="33">
        <f t="shared" si="23"/>
        <v>3.8349096022899581E-5</v>
      </c>
    </row>
    <row r="7" spans="1:37" x14ac:dyDescent="0.35">
      <c r="A7" s="9">
        <v>113</v>
      </c>
      <c r="B7" s="25">
        <v>0</v>
      </c>
      <c r="C7" s="25">
        <v>0</v>
      </c>
      <c r="D7" s="25">
        <f t="shared" si="0"/>
        <v>0</v>
      </c>
      <c r="E7" s="25">
        <f t="shared" si="1"/>
        <v>0</v>
      </c>
      <c r="F7" s="28">
        <f t="shared" si="2"/>
        <v>0</v>
      </c>
      <c r="G7" s="28">
        <f t="shared" si="3"/>
        <v>0</v>
      </c>
      <c r="H7" s="25">
        <v>139.55069806887587</v>
      </c>
      <c r="I7" s="25">
        <v>167.41438962739412</v>
      </c>
      <c r="J7" s="25">
        <f t="shared" si="4"/>
        <v>0.36138986940017059</v>
      </c>
      <c r="K7" s="25">
        <f t="shared" si="5"/>
        <v>0.42393048954798335</v>
      </c>
      <c r="L7" s="29">
        <f t="shared" si="6"/>
        <v>0.39266017947407694</v>
      </c>
      <c r="M7" s="29">
        <f t="shared" si="7"/>
        <v>4.4222896606130421E-2</v>
      </c>
      <c r="N7" s="25">
        <v>323.43046125197554</v>
      </c>
      <c r="O7" s="25">
        <v>316.34823315083855</v>
      </c>
      <c r="P7" s="25">
        <f t="shared" si="8"/>
        <v>0.85340104290871932</v>
      </c>
      <c r="Q7" s="25">
        <f t="shared" si="9"/>
        <v>0.81065045395356328</v>
      </c>
      <c r="R7" s="30">
        <f t="shared" si="24"/>
        <v>0.8320257484311413</v>
      </c>
      <c r="S7" s="30">
        <f t="shared" si="11"/>
        <v>3.0229231349909558E-2</v>
      </c>
      <c r="T7" s="25">
        <v>0</v>
      </c>
      <c r="U7" s="25">
        <v>0</v>
      </c>
      <c r="V7" s="25">
        <f t="shared" si="12"/>
        <v>0</v>
      </c>
      <c r="W7" s="25">
        <f t="shared" si="13"/>
        <v>0</v>
      </c>
      <c r="X7" s="31">
        <f t="shared" si="25"/>
        <v>0</v>
      </c>
      <c r="Y7" s="31">
        <f t="shared" si="15"/>
        <v>0</v>
      </c>
      <c r="Z7" s="25">
        <v>0</v>
      </c>
      <c r="AA7" s="25">
        <v>0</v>
      </c>
      <c r="AB7" s="25">
        <f t="shared" si="16"/>
        <v>0</v>
      </c>
      <c r="AC7" s="25">
        <f t="shared" si="17"/>
        <v>0</v>
      </c>
      <c r="AD7" s="32">
        <f t="shared" si="18"/>
        <v>0</v>
      </c>
      <c r="AE7" s="32">
        <f t="shared" si="19"/>
        <v>0</v>
      </c>
      <c r="AF7" s="25">
        <v>329.70181345689099</v>
      </c>
      <c r="AG7" s="25">
        <v>329.71481702084731</v>
      </c>
      <c r="AH7" s="25">
        <f t="shared" si="20"/>
        <v>0.93892015792934935</v>
      </c>
      <c r="AI7" s="25">
        <f t="shared" si="21"/>
        <v>0.92665978196466459</v>
      </c>
      <c r="AJ7" s="33">
        <f t="shared" si="26"/>
        <v>0.93278996994700702</v>
      </c>
      <c r="AK7" s="33">
        <f t="shared" si="23"/>
        <v>8.669394984525158E-3</v>
      </c>
    </row>
    <row r="8" spans="1:37" x14ac:dyDescent="0.35">
      <c r="A8" s="9">
        <v>161</v>
      </c>
      <c r="B8" s="25">
        <v>0</v>
      </c>
      <c r="C8" s="25">
        <v>0</v>
      </c>
      <c r="D8" s="25">
        <f t="shared" si="0"/>
        <v>0</v>
      </c>
      <c r="E8" s="25">
        <f t="shared" si="1"/>
        <v>0</v>
      </c>
      <c r="F8" s="28">
        <f t="shared" si="2"/>
        <v>0</v>
      </c>
      <c r="G8" s="28">
        <f t="shared" si="3"/>
        <v>0</v>
      </c>
      <c r="H8" s="25">
        <v>0</v>
      </c>
      <c r="I8" s="25">
        <v>18.30630873558005</v>
      </c>
      <c r="J8" s="25">
        <f t="shared" si="4"/>
        <v>0</v>
      </c>
      <c r="K8" s="25">
        <f t="shared" si="5"/>
        <v>4.6355647452786836E-2</v>
      </c>
      <c r="L8" s="29">
        <f t="shared" si="6"/>
        <v>2.3177823726393418E-2</v>
      </c>
      <c r="M8" s="29">
        <f t="shared" si="7"/>
        <v>3.277839266015848E-2</v>
      </c>
      <c r="N8" s="25">
        <v>301.22453756450102</v>
      </c>
      <c r="O8" s="25">
        <v>295.29655347624998</v>
      </c>
      <c r="P8" s="25">
        <f t="shared" si="8"/>
        <v>0.79480866926436322</v>
      </c>
      <c r="Q8" s="25">
        <f t="shared" si="9"/>
        <v>0.75670498533274388</v>
      </c>
      <c r="R8" s="30">
        <f t="shared" si="24"/>
        <v>0.77575682729855355</v>
      </c>
      <c r="S8" s="30">
        <f t="shared" si="11"/>
        <v>2.694337329623692E-2</v>
      </c>
      <c r="T8" s="25">
        <v>0</v>
      </c>
      <c r="U8" s="25">
        <v>0</v>
      </c>
      <c r="V8" s="25">
        <f t="shared" si="12"/>
        <v>0</v>
      </c>
      <c r="W8" s="25">
        <f t="shared" si="13"/>
        <v>0</v>
      </c>
      <c r="X8" s="31">
        <f t="shared" si="25"/>
        <v>0</v>
      </c>
      <c r="Y8" s="31">
        <f t="shared" si="15"/>
        <v>0</v>
      </c>
      <c r="Z8" s="25">
        <v>0</v>
      </c>
      <c r="AA8" s="25">
        <v>0</v>
      </c>
      <c r="AB8" s="25">
        <f t="shared" si="16"/>
        <v>0</v>
      </c>
      <c r="AC8" s="25">
        <f t="shared" si="17"/>
        <v>0</v>
      </c>
      <c r="AD8" s="32">
        <f t="shared" si="18"/>
        <v>0</v>
      </c>
      <c r="AE8" s="32">
        <f t="shared" si="19"/>
        <v>0</v>
      </c>
      <c r="AF8" s="25">
        <v>289.80609419186777</v>
      </c>
      <c r="AG8" s="25">
        <v>285.31855933731907</v>
      </c>
      <c r="AH8" s="25">
        <f t="shared" si="20"/>
        <v>0.82530569327030556</v>
      </c>
      <c r="AI8" s="25">
        <f t="shared" si="21"/>
        <v>0.80188459946971435</v>
      </c>
      <c r="AJ8" s="33">
        <f t="shared" si="26"/>
        <v>0.81359514637000996</v>
      </c>
      <c r="AK8" s="33">
        <f t="shared" si="23"/>
        <v>1.6561214249204252E-2</v>
      </c>
    </row>
    <row r="9" spans="1:37" x14ac:dyDescent="0.35">
      <c r="A9" s="9">
        <v>233</v>
      </c>
      <c r="B9" s="25">
        <v>0</v>
      </c>
      <c r="C9" s="25">
        <v>0</v>
      </c>
      <c r="D9" s="25">
        <f t="shared" si="0"/>
        <v>0</v>
      </c>
      <c r="E9" s="25">
        <f t="shared" si="1"/>
        <v>0</v>
      </c>
      <c r="F9" s="28">
        <f t="shared" si="2"/>
        <v>0</v>
      </c>
      <c r="G9" s="28">
        <f t="shared" si="3"/>
        <v>0</v>
      </c>
      <c r="H9" s="25">
        <v>0</v>
      </c>
      <c r="I9" s="25">
        <v>0</v>
      </c>
      <c r="J9" s="25">
        <f t="shared" si="4"/>
        <v>0</v>
      </c>
      <c r="K9" s="25">
        <f t="shared" si="5"/>
        <v>0</v>
      </c>
      <c r="L9" s="29">
        <f t="shared" si="6"/>
        <v>0</v>
      </c>
      <c r="M9" s="29">
        <f t="shared" si="7"/>
        <v>0</v>
      </c>
      <c r="N9" s="25">
        <v>297.71043291432602</v>
      </c>
      <c r="O9" s="25">
        <v>294.17435118808498</v>
      </c>
      <c r="P9" s="25">
        <f t="shared" si="8"/>
        <v>0.78553638068108922</v>
      </c>
      <c r="Q9" s="25">
        <f t="shared" si="9"/>
        <v>0.75382931321259983</v>
      </c>
      <c r="R9" s="30">
        <f t="shared" si="24"/>
        <v>0.76968284694684452</v>
      </c>
      <c r="S9" s="30">
        <f t="shared" si="11"/>
        <v>2.2420282418508228E-2</v>
      </c>
      <c r="T9" s="25">
        <v>0</v>
      </c>
      <c r="U9" s="25">
        <v>0</v>
      </c>
      <c r="V9" s="25">
        <f t="shared" si="12"/>
        <v>0</v>
      </c>
      <c r="W9" s="25">
        <f t="shared" si="13"/>
        <v>0</v>
      </c>
      <c r="X9" s="31">
        <f t="shared" si="25"/>
        <v>0</v>
      </c>
      <c r="Y9" s="31">
        <f t="shared" si="15"/>
        <v>0</v>
      </c>
      <c r="Z9" s="25">
        <v>0</v>
      </c>
      <c r="AA9" s="25">
        <v>0</v>
      </c>
      <c r="AB9" s="25">
        <f t="shared" si="16"/>
        <v>0</v>
      </c>
      <c r="AC9" s="25">
        <f t="shared" si="17"/>
        <v>0</v>
      </c>
      <c r="AD9" s="32">
        <f t="shared" si="18"/>
        <v>0</v>
      </c>
      <c r="AE9" s="32">
        <f t="shared" si="19"/>
        <v>0</v>
      </c>
      <c r="AF9" s="25">
        <v>281.00527156726923</v>
      </c>
      <c r="AG9" s="25">
        <v>281.17674009594532</v>
      </c>
      <c r="AH9" s="25">
        <f t="shared" si="20"/>
        <v>0.8002428351623786</v>
      </c>
      <c r="AI9" s="25">
        <f t="shared" si="21"/>
        <v>0.79024406311218154</v>
      </c>
      <c r="AJ9" s="33">
        <f t="shared" si="26"/>
        <v>0.79524344913728007</v>
      </c>
      <c r="AK9" s="33">
        <f t="shared" si="23"/>
        <v>7.0701995202328586E-3</v>
      </c>
    </row>
    <row r="10" spans="1:37" x14ac:dyDescent="0.35">
      <c r="A10" s="9">
        <v>305</v>
      </c>
      <c r="B10" s="25">
        <v>0</v>
      </c>
      <c r="C10" s="25">
        <v>0</v>
      </c>
      <c r="D10" s="25">
        <f t="shared" si="0"/>
        <v>0</v>
      </c>
      <c r="E10" s="25">
        <f t="shared" si="1"/>
        <v>0</v>
      </c>
      <c r="F10" s="28">
        <f t="shared" si="2"/>
        <v>0</v>
      </c>
      <c r="G10" s="28">
        <f t="shared" si="3"/>
        <v>0</v>
      </c>
      <c r="H10" s="25">
        <v>0</v>
      </c>
      <c r="I10" s="25">
        <v>0</v>
      </c>
      <c r="J10" s="25">
        <f t="shared" si="4"/>
        <v>0</v>
      </c>
      <c r="K10" s="25">
        <f t="shared" si="5"/>
        <v>0</v>
      </c>
      <c r="L10" s="29">
        <f t="shared" si="6"/>
        <v>0</v>
      </c>
      <c r="M10" s="29">
        <f t="shared" si="7"/>
        <v>0</v>
      </c>
      <c r="N10" s="25">
        <v>294.79396951090399</v>
      </c>
      <c r="O10" s="25">
        <v>291.74661814110198</v>
      </c>
      <c r="P10" s="25">
        <f t="shared" si="8"/>
        <v>0.77784102353862627</v>
      </c>
      <c r="Q10" s="25">
        <f t="shared" si="9"/>
        <v>0.74760818506842452</v>
      </c>
      <c r="R10" s="30">
        <f t="shared" si="24"/>
        <v>0.7627246043035254</v>
      </c>
      <c r="S10" s="30">
        <f t="shared" si="11"/>
        <v>2.1377845096797184E-2</v>
      </c>
      <c r="T10" s="25">
        <v>0</v>
      </c>
      <c r="U10" s="25">
        <v>0</v>
      </c>
      <c r="V10" s="25">
        <f t="shared" si="12"/>
        <v>0</v>
      </c>
      <c r="W10" s="25">
        <f t="shared" si="13"/>
        <v>0</v>
      </c>
      <c r="X10" s="31">
        <f t="shared" si="25"/>
        <v>0</v>
      </c>
      <c r="Y10" s="31">
        <f t="shared" si="15"/>
        <v>0</v>
      </c>
      <c r="Z10" s="25">
        <v>0</v>
      </c>
      <c r="AA10" s="25">
        <v>0</v>
      </c>
      <c r="AB10" s="25">
        <f t="shared" si="16"/>
        <v>0</v>
      </c>
      <c r="AC10" s="25">
        <f t="shared" si="17"/>
        <v>0</v>
      </c>
      <c r="AD10" s="32">
        <f t="shared" si="18"/>
        <v>0</v>
      </c>
      <c r="AE10" s="32">
        <f t="shared" si="19"/>
        <v>0</v>
      </c>
      <c r="AF10" s="25">
        <v>284.92416346593694</v>
      </c>
      <c r="AG10" s="25">
        <v>287.67328261463751</v>
      </c>
      <c r="AH10" s="25">
        <f t="shared" si="20"/>
        <v>0.81140300004538501</v>
      </c>
      <c r="AI10" s="25">
        <f t="shared" si="21"/>
        <v>0.80850252273583523</v>
      </c>
      <c r="AJ10" s="33">
        <f t="shared" si="26"/>
        <v>0.80995276139061012</v>
      </c>
      <c r="AK10" s="33">
        <f t="shared" si="23"/>
        <v>2.0509471742603674E-3</v>
      </c>
    </row>
    <row r="11" spans="1:37" x14ac:dyDescent="0.35">
      <c r="A11" s="9">
        <v>353</v>
      </c>
      <c r="B11" s="25">
        <v>0</v>
      </c>
      <c r="C11" s="25">
        <v>0</v>
      </c>
      <c r="D11" s="25">
        <f t="shared" si="0"/>
        <v>0</v>
      </c>
      <c r="E11" s="25">
        <f t="shared" si="1"/>
        <v>0</v>
      </c>
      <c r="F11" s="28">
        <f t="shared" si="2"/>
        <v>0</v>
      </c>
      <c r="G11" s="28">
        <f t="shared" si="3"/>
        <v>0</v>
      </c>
      <c r="H11" s="25">
        <v>0</v>
      </c>
      <c r="I11" s="25">
        <v>0</v>
      </c>
      <c r="J11" s="25">
        <f t="shared" si="4"/>
        <v>0</v>
      </c>
      <c r="K11" s="25">
        <f t="shared" si="5"/>
        <v>0</v>
      </c>
      <c r="L11" s="29">
        <f t="shared" si="6"/>
        <v>0</v>
      </c>
      <c r="M11" s="29">
        <f t="shared" si="7"/>
        <v>0</v>
      </c>
      <c r="N11" s="25">
        <v>297.49319831064599</v>
      </c>
      <c r="O11" s="25">
        <v>294.115201036011</v>
      </c>
      <c r="P11" s="25">
        <f t="shared" si="8"/>
        <v>0.78496318718342428</v>
      </c>
      <c r="Q11" s="25">
        <f t="shared" si="9"/>
        <v>0.75367773943217253</v>
      </c>
      <c r="R11" s="30">
        <f t="shared" si="24"/>
        <v>0.76932046330779835</v>
      </c>
      <c r="S11" s="30">
        <f t="shared" si="11"/>
        <v>2.2122152257367536E-2</v>
      </c>
      <c r="T11" s="25">
        <v>0</v>
      </c>
      <c r="U11" s="25">
        <v>0</v>
      </c>
      <c r="V11" s="25">
        <f t="shared" si="12"/>
        <v>0</v>
      </c>
      <c r="W11" s="25">
        <f t="shared" si="13"/>
        <v>0</v>
      </c>
      <c r="X11" s="31">
        <f t="shared" si="25"/>
        <v>0</v>
      </c>
      <c r="Y11" s="31">
        <f t="shared" si="15"/>
        <v>0</v>
      </c>
      <c r="Z11" s="25">
        <v>0</v>
      </c>
      <c r="AA11" s="25">
        <v>0</v>
      </c>
      <c r="AB11" s="25">
        <f t="shared" si="16"/>
        <v>0</v>
      </c>
      <c r="AC11" s="25">
        <f t="shared" si="17"/>
        <v>0</v>
      </c>
      <c r="AD11" s="32">
        <f t="shared" si="18"/>
        <v>0</v>
      </c>
      <c r="AE11" s="32">
        <f t="shared" si="19"/>
        <v>0</v>
      </c>
      <c r="AF11" s="25">
        <v>290.55126015693077</v>
      </c>
      <c r="AG11" s="25">
        <v>287.76013336288997</v>
      </c>
      <c r="AH11" s="25">
        <f t="shared" si="20"/>
        <v>0.82742776635890869</v>
      </c>
      <c r="AI11" s="25">
        <f t="shared" si="21"/>
        <v>0.80874661578620599</v>
      </c>
      <c r="AJ11" s="33">
        <f t="shared" si="26"/>
        <v>0.81808719107255734</v>
      </c>
      <c r="AK11" s="33">
        <f t="shared" si="23"/>
        <v>1.3209568250325033E-2</v>
      </c>
    </row>
    <row r="12" spans="1:37" x14ac:dyDescent="0.35">
      <c r="A12" s="9">
        <v>425</v>
      </c>
      <c r="B12" s="25">
        <v>0</v>
      </c>
      <c r="C12" s="25">
        <v>0</v>
      </c>
      <c r="D12" s="25">
        <f t="shared" si="0"/>
        <v>0</v>
      </c>
      <c r="E12" s="25">
        <f t="shared" si="1"/>
        <v>0</v>
      </c>
      <c r="F12" s="28">
        <f t="shared" si="2"/>
        <v>0</v>
      </c>
      <c r="G12" s="28">
        <f t="shared" si="3"/>
        <v>0</v>
      </c>
      <c r="H12" s="25">
        <v>0</v>
      </c>
      <c r="I12" s="25">
        <v>0</v>
      </c>
      <c r="J12" s="25">
        <f t="shared" si="4"/>
        <v>0</v>
      </c>
      <c r="K12" s="25">
        <f t="shared" si="5"/>
        <v>0</v>
      </c>
      <c r="L12" s="29">
        <f t="shared" si="6"/>
        <v>0</v>
      </c>
      <c r="M12" s="29">
        <f t="shared" si="7"/>
        <v>0</v>
      </c>
      <c r="N12" s="25">
        <v>298.97423769350303</v>
      </c>
      <c r="O12" s="25">
        <v>292.061389702626</v>
      </c>
      <c r="P12" s="25">
        <f t="shared" si="8"/>
        <v>0.78887104592074464</v>
      </c>
      <c r="Q12" s="25">
        <f t="shared" si="9"/>
        <v>0.74841479526093169</v>
      </c>
      <c r="R12" s="30">
        <f t="shared" si="24"/>
        <v>0.76864292059083816</v>
      </c>
      <c r="S12" s="30">
        <f t="shared" si="11"/>
        <v>2.8606889182936478E-2</v>
      </c>
      <c r="T12" s="25">
        <v>0</v>
      </c>
      <c r="U12" s="25">
        <v>0</v>
      </c>
      <c r="V12" s="25">
        <f t="shared" si="12"/>
        <v>0</v>
      </c>
      <c r="W12" s="25">
        <f t="shared" si="13"/>
        <v>0</v>
      </c>
      <c r="X12" s="31">
        <f t="shared" si="25"/>
        <v>0</v>
      </c>
      <c r="Y12" s="31">
        <f t="shared" si="15"/>
        <v>0</v>
      </c>
      <c r="Z12" s="25">
        <v>0</v>
      </c>
      <c r="AA12" s="25">
        <v>0</v>
      </c>
      <c r="AB12" s="25">
        <f t="shared" si="16"/>
        <v>0</v>
      </c>
      <c r="AC12" s="25">
        <f t="shared" si="17"/>
        <v>0</v>
      </c>
      <c r="AD12" s="32">
        <f t="shared" si="18"/>
        <v>0</v>
      </c>
      <c r="AE12" s="32">
        <f t="shared" si="19"/>
        <v>0</v>
      </c>
      <c r="AF12" s="25">
        <v>285.25998578633363</v>
      </c>
      <c r="AG12" s="25">
        <v>292.05498060459126</v>
      </c>
      <c r="AH12" s="25">
        <f t="shared" si="20"/>
        <v>0.81235935009635096</v>
      </c>
      <c r="AI12" s="25">
        <f t="shared" si="21"/>
        <v>0.82081723561617514</v>
      </c>
      <c r="AJ12" s="33">
        <f t="shared" si="26"/>
        <v>0.81658829285626311</v>
      </c>
      <c r="AK12" s="33">
        <f t="shared" si="23"/>
        <v>5.9806282055671865E-3</v>
      </c>
    </row>
    <row r="13" spans="1:37" x14ac:dyDescent="0.35">
      <c r="A13" s="9">
        <v>497</v>
      </c>
      <c r="B13" s="25">
        <v>0</v>
      </c>
      <c r="C13" s="25">
        <v>0</v>
      </c>
      <c r="D13" s="25">
        <f t="shared" si="0"/>
        <v>0</v>
      </c>
      <c r="E13" s="25">
        <f t="shared" si="1"/>
        <v>0</v>
      </c>
      <c r="F13" s="28">
        <f t="shared" si="2"/>
        <v>0</v>
      </c>
      <c r="G13" s="28">
        <f t="shared" si="3"/>
        <v>0</v>
      </c>
      <c r="H13" s="25">
        <v>0</v>
      </c>
      <c r="I13" s="25">
        <v>0</v>
      </c>
      <c r="J13" s="25">
        <f t="shared" si="4"/>
        <v>0</v>
      </c>
      <c r="K13" s="25">
        <f t="shared" si="5"/>
        <v>0</v>
      </c>
      <c r="L13" s="29">
        <f t="shared" si="6"/>
        <v>0</v>
      </c>
      <c r="M13" s="29">
        <f t="shared" si="7"/>
        <v>0</v>
      </c>
      <c r="N13" s="25">
        <v>298.65577635151601</v>
      </c>
      <c r="O13" s="25">
        <v>293.73997067839798</v>
      </c>
      <c r="P13" s="25">
        <f t="shared" si="8"/>
        <v>0.78803075635641051</v>
      </c>
      <c r="Q13" s="25">
        <f t="shared" si="9"/>
        <v>0.75271620202541512</v>
      </c>
      <c r="R13" s="30">
        <f t="shared" si="24"/>
        <v>0.77037347919091281</v>
      </c>
      <c r="S13" s="30">
        <f t="shared" si="11"/>
        <v>2.4971160842027607E-2</v>
      </c>
      <c r="T13" s="25">
        <v>0</v>
      </c>
      <c r="U13" s="25">
        <v>0</v>
      </c>
      <c r="V13" s="25">
        <f t="shared" si="12"/>
        <v>0</v>
      </c>
      <c r="W13" s="25">
        <f t="shared" si="13"/>
        <v>0</v>
      </c>
      <c r="X13" s="31">
        <f t="shared" si="25"/>
        <v>0</v>
      </c>
      <c r="Y13" s="31">
        <f t="shared" si="15"/>
        <v>0</v>
      </c>
      <c r="Z13" s="25">
        <v>0</v>
      </c>
      <c r="AA13" s="25">
        <v>0</v>
      </c>
      <c r="AB13" s="25">
        <f t="shared" si="16"/>
        <v>0</v>
      </c>
      <c r="AC13" s="25">
        <f t="shared" si="17"/>
        <v>0</v>
      </c>
      <c r="AD13" s="32">
        <f t="shared" si="18"/>
        <v>0</v>
      </c>
      <c r="AE13" s="32">
        <f t="shared" si="19"/>
        <v>0</v>
      </c>
      <c r="AF13" s="25">
        <v>285.15707783626061</v>
      </c>
      <c r="AG13" s="25">
        <v>280.53598832390378</v>
      </c>
      <c r="AH13" s="25">
        <f t="shared" si="20"/>
        <v>0.81206629029264021</v>
      </c>
      <c r="AI13" s="25">
        <f t="shared" si="21"/>
        <v>0.78844323746916556</v>
      </c>
      <c r="AJ13" s="33">
        <f t="shared" si="26"/>
        <v>0.80025476388090289</v>
      </c>
      <c r="AK13" s="33">
        <f t="shared" si="23"/>
        <v>1.6704020843806948E-2</v>
      </c>
    </row>
    <row r="14" spans="1:37" x14ac:dyDescent="0.35">
      <c r="A14" s="9">
        <v>593</v>
      </c>
      <c r="B14" s="25">
        <v>0</v>
      </c>
      <c r="C14" s="25">
        <v>0</v>
      </c>
      <c r="D14" s="25">
        <f t="shared" si="0"/>
        <v>0</v>
      </c>
      <c r="E14" s="25">
        <f t="shared" si="1"/>
        <v>0</v>
      </c>
      <c r="F14" s="28">
        <f t="shared" ref="F14:F15" si="27">AVERAGE(D14:E14)</f>
        <v>0</v>
      </c>
      <c r="G14" s="28">
        <f t="shared" ref="G14:G15" si="28">STDEV(D14:E14)</f>
        <v>0</v>
      </c>
      <c r="H14" s="25">
        <v>0</v>
      </c>
      <c r="I14" s="25">
        <v>0</v>
      </c>
      <c r="J14" s="25">
        <f t="shared" si="4"/>
        <v>0</v>
      </c>
      <c r="K14" s="25">
        <f t="shared" si="5"/>
        <v>0</v>
      </c>
      <c r="L14" s="29">
        <f t="shared" ref="L14:L15" si="29">AVERAGE(J14:K14)</f>
        <v>0</v>
      </c>
      <c r="M14" s="29">
        <f t="shared" ref="M14:M15" si="30">STDEV(J14:K14)</f>
        <v>0</v>
      </c>
      <c r="N14" s="23">
        <v>306.02201092381102</v>
      </c>
      <c r="O14" s="23">
        <v>302.95333728358401</v>
      </c>
      <c r="P14" s="25">
        <f t="shared" si="8"/>
        <v>0.80746724431729333</v>
      </c>
      <c r="Q14" s="25">
        <f t="shared" si="9"/>
        <v>0.77632569004608443</v>
      </c>
      <c r="R14" s="30">
        <f t="shared" ref="R14" si="31">AVERAGE(P14:Q14)</f>
        <v>0.79189646718168882</v>
      </c>
      <c r="S14" s="30">
        <f t="shared" ref="S14" si="32">STDEV(P14:Q14)</f>
        <v>2.2020404201860709E-2</v>
      </c>
      <c r="T14" s="25">
        <v>0</v>
      </c>
      <c r="U14" s="25">
        <v>0</v>
      </c>
      <c r="V14" s="25">
        <f t="shared" si="12"/>
        <v>0</v>
      </c>
      <c r="W14" s="25">
        <f t="shared" si="13"/>
        <v>0</v>
      </c>
      <c r="X14" s="31">
        <f t="shared" ref="X14:X15" si="33">AVERAGE(V14:W14)</f>
        <v>0</v>
      </c>
      <c r="Y14" s="31">
        <f t="shared" ref="Y14:Y15" si="34">STDEV(V14:W14)</f>
        <v>0</v>
      </c>
      <c r="Z14" s="25">
        <v>0</v>
      </c>
      <c r="AA14" s="25">
        <v>0</v>
      </c>
      <c r="AB14" s="25">
        <f t="shared" si="16"/>
        <v>0</v>
      </c>
      <c r="AC14" s="25">
        <f t="shared" si="17"/>
        <v>0</v>
      </c>
      <c r="AD14" s="32">
        <f t="shared" ref="AD14:AD15" si="35">AVERAGE(AB14:AC14)</f>
        <v>0</v>
      </c>
      <c r="AE14" s="32">
        <f t="shared" ref="AE14:AE15" si="36">STDEV(AB14:AC14)</f>
        <v>0</v>
      </c>
      <c r="AF14" s="23">
        <v>282.82838214442472</v>
      </c>
      <c r="AG14" s="23">
        <v>284.97932212691649</v>
      </c>
      <c r="AH14" s="25">
        <f t="shared" si="20"/>
        <v>0.80543466366061434</v>
      </c>
      <c r="AI14" s="25">
        <f t="shared" si="21"/>
        <v>0.8009311771083345</v>
      </c>
      <c r="AJ14" s="33">
        <f t="shared" ref="AJ14" si="37">AVERAGE(AH14:AI14)</f>
        <v>0.80318292038447447</v>
      </c>
      <c r="AK14" s="33">
        <f t="shared" ref="AK14" si="38">STDEV(AH14:AI14)</f>
        <v>3.1844458800994956E-3</v>
      </c>
    </row>
    <row r="15" spans="1:37" x14ac:dyDescent="0.35">
      <c r="A15" s="9">
        <v>737</v>
      </c>
      <c r="B15" s="25">
        <v>0</v>
      </c>
      <c r="C15" s="25">
        <v>0</v>
      </c>
      <c r="D15" s="25">
        <f t="shared" si="0"/>
        <v>0</v>
      </c>
      <c r="E15" s="25">
        <f t="shared" si="1"/>
        <v>0</v>
      </c>
      <c r="F15" s="28">
        <f t="shared" si="27"/>
        <v>0</v>
      </c>
      <c r="G15" s="28">
        <f t="shared" si="28"/>
        <v>0</v>
      </c>
      <c r="H15" s="25">
        <v>0</v>
      </c>
      <c r="I15" s="25">
        <v>0</v>
      </c>
      <c r="J15" s="25">
        <f t="shared" si="4"/>
        <v>0</v>
      </c>
      <c r="K15" s="25">
        <f t="shared" si="5"/>
        <v>0</v>
      </c>
      <c r="L15" s="29">
        <f t="shared" si="29"/>
        <v>0</v>
      </c>
      <c r="M15" s="29">
        <f t="shared" si="30"/>
        <v>0</v>
      </c>
      <c r="N15" s="25">
        <v>291.51237147845399</v>
      </c>
      <c r="O15" s="25">
        <v>293.73306222791399</v>
      </c>
      <c r="P15" s="25">
        <f t="shared" si="8"/>
        <v>0.7691822250678223</v>
      </c>
      <c r="Q15" s="25">
        <f t="shared" si="9"/>
        <v>0.75269849894401897</v>
      </c>
      <c r="R15" s="30">
        <f t="shared" ref="R15" si="39">AVERAGE(P15:Q15)</f>
        <v>0.76094036200592063</v>
      </c>
      <c r="S15" s="30">
        <f t="shared" ref="S15" si="40">STDEV(P15:Q15)</f>
        <v>1.1655754521363181E-2</v>
      </c>
      <c r="T15" s="25">
        <v>0</v>
      </c>
      <c r="U15" s="25">
        <v>0</v>
      </c>
      <c r="V15" s="25">
        <f t="shared" si="12"/>
        <v>0</v>
      </c>
      <c r="W15" s="25">
        <f t="shared" si="13"/>
        <v>0</v>
      </c>
      <c r="X15" s="31">
        <f t="shared" si="33"/>
        <v>0</v>
      </c>
      <c r="Y15" s="31">
        <f t="shared" si="34"/>
        <v>0</v>
      </c>
      <c r="Z15" s="25">
        <v>0</v>
      </c>
      <c r="AA15" s="25">
        <v>0</v>
      </c>
      <c r="AB15" s="25">
        <f t="shared" si="16"/>
        <v>0</v>
      </c>
      <c r="AC15" s="25">
        <f t="shared" si="17"/>
        <v>0</v>
      </c>
      <c r="AD15" s="32">
        <f t="shared" si="35"/>
        <v>0</v>
      </c>
      <c r="AE15" s="32">
        <f t="shared" si="36"/>
        <v>0</v>
      </c>
      <c r="AF15" s="25">
        <v>278.678075813617</v>
      </c>
      <c r="AG15" s="25">
        <v>271.290262563125</v>
      </c>
      <c r="AH15" s="25">
        <f t="shared" si="20"/>
        <v>0.7936154800330828</v>
      </c>
      <c r="AI15" s="25">
        <f t="shared" si="21"/>
        <v>0.76245822928845453</v>
      </c>
      <c r="AJ15" s="33">
        <f t="shared" ref="AJ15" si="41">AVERAGE(AH15:AI15)</f>
        <v>0.77803685466076866</v>
      </c>
      <c r="AK15" s="33">
        <f t="shared" ref="AK15" si="42">STDEV(AH15:AI15)</f>
        <v>2.2031503284656258E-2</v>
      </c>
    </row>
  </sheetData>
  <mergeCells count="7">
    <mergeCell ref="Z1:AE1"/>
    <mergeCell ref="AF1:AK1"/>
    <mergeCell ref="A1:A2"/>
    <mergeCell ref="B1:G1"/>
    <mergeCell ref="H1:M1"/>
    <mergeCell ref="N1:S1"/>
    <mergeCell ref="T1:Y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B1A9F-0C11-4009-AB67-72481F784983}">
  <dimension ref="A1:AK30"/>
  <sheetViews>
    <sheetView zoomScale="94" zoomScaleNormal="94" workbookViewId="0">
      <selection activeCell="A16" sqref="A16:AA36"/>
    </sheetView>
  </sheetViews>
  <sheetFormatPr defaultRowHeight="14.5" x14ac:dyDescent="0.35"/>
  <cols>
    <col min="1" max="16384" width="8.7265625" style="9"/>
  </cols>
  <sheetData>
    <row r="1" spans="1:37" x14ac:dyDescent="0.35">
      <c r="A1" s="51" t="s">
        <v>0</v>
      </c>
      <c r="B1" s="52" t="s">
        <v>3</v>
      </c>
      <c r="C1" s="52"/>
      <c r="D1" s="52"/>
      <c r="E1" s="52"/>
      <c r="F1" s="52"/>
      <c r="G1" s="52"/>
      <c r="H1" s="53" t="s">
        <v>4</v>
      </c>
      <c r="I1" s="53"/>
      <c r="J1" s="53"/>
      <c r="K1" s="53"/>
      <c r="L1" s="53"/>
      <c r="M1" s="53"/>
      <c r="N1" s="54" t="s">
        <v>5</v>
      </c>
      <c r="O1" s="54"/>
      <c r="P1" s="54"/>
      <c r="Q1" s="54"/>
      <c r="R1" s="54"/>
      <c r="S1" s="54"/>
      <c r="T1" s="55" t="s">
        <v>6</v>
      </c>
      <c r="U1" s="55"/>
      <c r="V1" s="55"/>
      <c r="W1" s="55"/>
      <c r="X1" s="55"/>
      <c r="Y1" s="55"/>
      <c r="Z1" s="49" t="s">
        <v>7</v>
      </c>
      <c r="AA1" s="49"/>
      <c r="AB1" s="49"/>
      <c r="AC1" s="49"/>
      <c r="AD1" s="49"/>
      <c r="AE1" s="49"/>
      <c r="AF1" s="50" t="s">
        <v>8</v>
      </c>
      <c r="AG1" s="50"/>
      <c r="AH1" s="50"/>
      <c r="AI1" s="50"/>
      <c r="AJ1" s="50"/>
      <c r="AK1" s="50"/>
    </row>
    <row r="2" spans="1:37" x14ac:dyDescent="0.35">
      <c r="A2" s="51"/>
      <c r="B2" s="14">
        <v>1</v>
      </c>
      <c r="C2" s="14">
        <v>2</v>
      </c>
      <c r="D2" s="15">
        <v>0.01</v>
      </c>
      <c r="E2" s="15">
        <v>0.02</v>
      </c>
      <c r="F2" s="16" t="s">
        <v>1</v>
      </c>
      <c r="G2" s="16" t="s">
        <v>2</v>
      </c>
      <c r="H2" s="14">
        <v>1</v>
      </c>
      <c r="I2" s="14">
        <v>2</v>
      </c>
      <c r="J2" s="15">
        <v>0.01</v>
      </c>
      <c r="K2" s="15">
        <v>0.02</v>
      </c>
      <c r="L2" s="17" t="s">
        <v>1</v>
      </c>
      <c r="M2" s="17" t="s">
        <v>2</v>
      </c>
      <c r="N2" s="14">
        <v>1</v>
      </c>
      <c r="O2" s="14">
        <v>2</v>
      </c>
      <c r="P2" s="15">
        <v>0.01</v>
      </c>
      <c r="Q2" s="15">
        <v>0.02</v>
      </c>
      <c r="R2" s="18" t="s">
        <v>1</v>
      </c>
      <c r="S2" s="18" t="s">
        <v>2</v>
      </c>
      <c r="T2" s="14">
        <v>1</v>
      </c>
      <c r="U2" s="14">
        <v>2</v>
      </c>
      <c r="V2" s="15">
        <v>0.01</v>
      </c>
      <c r="W2" s="15">
        <v>0.02</v>
      </c>
      <c r="X2" s="19" t="s">
        <v>1</v>
      </c>
      <c r="Y2" s="19" t="s">
        <v>2</v>
      </c>
      <c r="Z2" s="14">
        <v>1</v>
      </c>
      <c r="AA2" s="14">
        <v>2</v>
      </c>
      <c r="AB2" s="15">
        <v>0.01</v>
      </c>
      <c r="AC2" s="15">
        <v>0.02</v>
      </c>
      <c r="AD2" s="20" t="s">
        <v>1</v>
      </c>
      <c r="AE2" s="20" t="s">
        <v>2</v>
      </c>
      <c r="AF2" s="14">
        <v>1</v>
      </c>
      <c r="AG2" s="14">
        <v>2</v>
      </c>
      <c r="AH2" s="15">
        <v>0.01</v>
      </c>
      <c r="AI2" s="15">
        <v>0.02</v>
      </c>
      <c r="AJ2" s="21" t="s">
        <v>1</v>
      </c>
      <c r="AK2" s="21" t="s">
        <v>2</v>
      </c>
    </row>
    <row r="3" spans="1:37" x14ac:dyDescent="0.35">
      <c r="A3" s="9">
        <v>0</v>
      </c>
      <c r="B3" s="25">
        <v>397.39404265204587</v>
      </c>
      <c r="C3" s="25">
        <v>390.12872289080929</v>
      </c>
      <c r="D3" s="25">
        <f>(B3/397.39)</f>
        <v>1.0000101730089985</v>
      </c>
      <c r="E3" s="25">
        <f>(C3/390.13)</f>
        <v>0.99999672645223203</v>
      </c>
      <c r="F3" s="28">
        <f>AVERAGE(D3:E3)</f>
        <v>1.0000034497306154</v>
      </c>
      <c r="G3" s="28">
        <f>STDEV(D3:E3)</f>
        <v>9.5081514731979824E-6</v>
      </c>
      <c r="H3" s="25">
        <v>401.1290926844049</v>
      </c>
      <c r="I3" s="25">
        <v>404.94238457285354</v>
      </c>
      <c r="J3" s="25">
        <f>(H3/401.13)</f>
        <v>0.99999773810087722</v>
      </c>
      <c r="K3" s="25">
        <f>(I3/404.94)</f>
        <v>1.0000058887066072</v>
      </c>
      <c r="L3" s="29">
        <f>AVERAGE(J3:K3)</f>
        <v>1.0000018134037423</v>
      </c>
      <c r="M3" s="29">
        <f>STDEV(J3:K3)</f>
        <v>5.7633485824653538E-6</v>
      </c>
      <c r="N3" s="25">
        <v>393.03496298160752</v>
      </c>
      <c r="O3" s="25">
        <v>409.90127249296552</v>
      </c>
      <c r="P3" s="25">
        <f>(N3/393.03)</f>
        <v>1.0000126274879972</v>
      </c>
      <c r="Q3" s="25">
        <f>(O3/409.9)</f>
        <v>1.0000031043985498</v>
      </c>
      <c r="R3" s="30">
        <f>AVERAGE(P3:Q3)</f>
        <v>1.0000078659432736</v>
      </c>
      <c r="S3" s="30">
        <f>STDEV(P3:Q3)</f>
        <v>6.7338411261455272E-6</v>
      </c>
      <c r="T3" s="25">
        <v>390.0000875181139</v>
      </c>
      <c r="U3" s="25">
        <v>401.7847167886905</v>
      </c>
      <c r="V3" s="25">
        <f>(T3/390)</f>
        <v>1.0000002244054202</v>
      </c>
      <c r="W3" s="25">
        <f>(U3/401.78)</f>
        <v>1.0000117397299282</v>
      </c>
      <c r="X3" s="31">
        <f>AVERAGE(V3:W3)</f>
        <v>1.0000059820676741</v>
      </c>
      <c r="Y3" s="31">
        <f>STDEV(V3:W3)</f>
        <v>8.1425640471266165E-6</v>
      </c>
      <c r="Z3" s="25">
        <v>408.23190270344628</v>
      </c>
      <c r="AA3" s="25">
        <v>419.71258079934699</v>
      </c>
      <c r="AB3" s="25">
        <f>(Z3/408.23)</f>
        <v>1.0000046608613926</v>
      </c>
      <c r="AC3" s="25">
        <f>(AA3/419.71)</f>
        <v>1.0000061490060923</v>
      </c>
      <c r="AD3" s="32">
        <f>AVERAGE(AB3:AC3)</f>
        <v>1.0000054049337423</v>
      </c>
      <c r="AE3" s="32">
        <f>STDEV(AB3:AC3)</f>
        <v>1.0522772085380472E-6</v>
      </c>
      <c r="AF3" s="25">
        <v>408.27281011562297</v>
      </c>
      <c r="AG3" s="25">
        <v>399.22109252339999</v>
      </c>
      <c r="AH3" s="25">
        <f>(AF3/408.27)</f>
        <v>1.0000068829833761</v>
      </c>
      <c r="AI3" s="25">
        <f>(AG3/399.22)</f>
        <v>1.0000027366449575</v>
      </c>
      <c r="AJ3" s="33">
        <f>AVERAGE(AH3:AI3)</f>
        <v>1.000004809814167</v>
      </c>
      <c r="AK3" s="33">
        <f>STDEV(AH3:AI3)</f>
        <v>2.9319040128928138E-6</v>
      </c>
    </row>
    <row r="4" spans="1:37" x14ac:dyDescent="0.35">
      <c r="A4" s="9">
        <v>17</v>
      </c>
      <c r="B4" s="25">
        <v>362.35323190380632</v>
      </c>
      <c r="C4" s="25">
        <v>350.23167425954807</v>
      </c>
      <c r="D4" s="25">
        <f t="shared" ref="D4:D15" si="0">(B4/397.39)</f>
        <v>0.9118327887058213</v>
      </c>
      <c r="E4" s="25">
        <f t="shared" ref="E4:E15" si="1">(C4/390.13)</f>
        <v>0.8977306904353628</v>
      </c>
      <c r="F4" s="28">
        <f t="shared" ref="F4:F15" si="2">AVERAGE(D4:E4)</f>
        <v>0.90478173957059205</v>
      </c>
      <c r="G4" s="28">
        <f t="shared" ref="G4:G15" si="3">STDEV(D4:E4)</f>
        <v>9.9716893160002856E-3</v>
      </c>
      <c r="H4" s="25">
        <v>366.42198979878287</v>
      </c>
      <c r="I4" s="25">
        <v>371.6483412119922</v>
      </c>
      <c r="J4" s="25">
        <f t="shared" ref="J4:J15" si="4">(H4/401.13)</f>
        <v>0.91347440929071089</v>
      </c>
      <c r="K4" s="25">
        <f t="shared" ref="K4:K15" si="5">(I4/404.94)</f>
        <v>0.91778619353976443</v>
      </c>
      <c r="L4" s="29">
        <f t="shared" ref="L4:L13" si="6">AVERAGE(J4:K4)</f>
        <v>0.9156303014152376</v>
      </c>
      <c r="M4" s="29">
        <f t="shared" ref="M4:M13" si="7">STDEV(J4:K4)</f>
        <v>3.0488918815191044E-3</v>
      </c>
      <c r="N4" s="25">
        <v>353.10714568460429</v>
      </c>
      <c r="O4" s="25">
        <v>350.33552667614202</v>
      </c>
      <c r="P4" s="25">
        <f t="shared" ref="P4:P15" si="8">(N4/393.03)</f>
        <v>0.89842288294685979</v>
      </c>
      <c r="Q4" s="25">
        <f t="shared" ref="Q4:Q15" si="9">(O4/409.9)</f>
        <v>0.85468535417453539</v>
      </c>
      <c r="R4" s="30">
        <f t="shared" ref="R4" si="10">AVERAGE(P4:Q4)</f>
        <v>0.87655411856069754</v>
      </c>
      <c r="S4" s="30">
        <f t="shared" ref="S4:S13" si="11">STDEV(P4:Q4)</f>
        <v>3.0927103187252312E-2</v>
      </c>
      <c r="T4" s="25">
        <v>349.28339261100115</v>
      </c>
      <c r="U4" s="25">
        <v>345.63103933968023</v>
      </c>
      <c r="V4" s="25">
        <f t="shared" ref="V4:V15" si="12">(T4/390)</f>
        <v>0.89559844259231058</v>
      </c>
      <c r="W4" s="25">
        <f t="shared" ref="W4:W15" si="13">(U4/401.78)</f>
        <v>0.86024948812703528</v>
      </c>
      <c r="X4" s="31">
        <f t="shared" ref="X4" si="14">AVERAGE(V4:W4)</f>
        <v>0.87792396535967288</v>
      </c>
      <c r="Y4" s="31">
        <f t="shared" ref="Y4:Y13" si="15">STDEV(V4:W4)</f>
        <v>2.4995485410250658E-2</v>
      </c>
      <c r="Z4" s="25">
        <v>345.48349238573667</v>
      </c>
      <c r="AA4" s="25">
        <v>356.52588637004601</v>
      </c>
      <c r="AB4" s="25">
        <f t="shared" ref="AB4:AB15" si="16">(Z4/408.23)</f>
        <v>0.84629618691849362</v>
      </c>
      <c r="AC4" s="25">
        <f t="shared" ref="AC4:AC15" si="17">(AA4/419.71)</f>
        <v>0.84945768833252966</v>
      </c>
      <c r="AD4" s="32">
        <f t="shared" ref="AD4:AD13" si="18">AVERAGE(AB4:AC4)</f>
        <v>0.84787693762551164</v>
      </c>
      <c r="AE4" s="32">
        <f t="shared" ref="AE4:AE13" si="19">STDEV(AB4:AC4)</f>
        <v>2.2355190885957419E-3</v>
      </c>
      <c r="AF4" s="25">
        <v>358.66393467492389</v>
      </c>
      <c r="AG4" s="25">
        <v>351.16117020881302</v>
      </c>
      <c r="AH4" s="25">
        <f t="shared" ref="AH4:AH15" si="20">(AF4/408.27)</f>
        <v>0.87849691301081123</v>
      </c>
      <c r="AI4" s="25">
        <f t="shared" ref="AI4:AI15" si="21">(AG4/399.22)</f>
        <v>0.87961818097493361</v>
      </c>
      <c r="AJ4" s="33">
        <f t="shared" ref="AJ4" si="22">AVERAGE(AH4:AI4)</f>
        <v>0.87905754699287242</v>
      </c>
      <c r="AK4" s="33">
        <f t="shared" ref="AK4:AK13" si="23">STDEV(AH4:AI4)</f>
        <v>7.9285618095816543E-4</v>
      </c>
    </row>
    <row r="5" spans="1:37" x14ac:dyDescent="0.35">
      <c r="A5" s="9">
        <v>41</v>
      </c>
      <c r="B5" s="25">
        <v>343.19121863577891</v>
      </c>
      <c r="C5" s="25">
        <v>349.49035326888992</v>
      </c>
      <c r="D5" s="25">
        <f t="shared" si="0"/>
        <v>0.8636131222118798</v>
      </c>
      <c r="E5" s="25">
        <f t="shared" si="1"/>
        <v>0.89583050077894533</v>
      </c>
      <c r="F5" s="28">
        <f t="shared" si="2"/>
        <v>0.87972181149541262</v>
      </c>
      <c r="G5" s="28">
        <f t="shared" si="3"/>
        <v>2.2781126856826168E-2</v>
      </c>
      <c r="H5" s="25">
        <v>356.80876064230154</v>
      </c>
      <c r="I5" s="25">
        <v>355.00839091717199</v>
      </c>
      <c r="J5" s="25">
        <f t="shared" si="4"/>
        <v>0.88950903857178854</v>
      </c>
      <c r="K5" s="25">
        <f t="shared" si="5"/>
        <v>0.87669380875480807</v>
      </c>
      <c r="L5" s="29">
        <f>AVERAGE(J5:K5)</f>
        <v>0.88310142366329836</v>
      </c>
      <c r="M5" s="29">
        <f t="shared" si="7"/>
        <v>9.0617359060509266E-3</v>
      </c>
      <c r="N5" s="25">
        <v>351.95572893481216</v>
      </c>
      <c r="O5" s="25">
        <v>353.06116252820419</v>
      </c>
      <c r="P5" s="25">
        <f t="shared" si="8"/>
        <v>0.8954932929669801</v>
      </c>
      <c r="Q5" s="25">
        <f t="shared" si="9"/>
        <v>0.8613348683293589</v>
      </c>
      <c r="R5" s="30">
        <f>AVERAGE(P5:Q5)</f>
        <v>0.8784140806481695</v>
      </c>
      <c r="S5" s="30">
        <f t="shared" si="11"/>
        <v>2.4153653695911586E-2</v>
      </c>
      <c r="T5" s="25">
        <v>345.98962525650251</v>
      </c>
      <c r="U5" s="25">
        <v>352.44223197111722</v>
      </c>
      <c r="V5" s="25">
        <f t="shared" si="12"/>
        <v>0.88715288527308334</v>
      </c>
      <c r="W5" s="25">
        <f t="shared" si="13"/>
        <v>0.87720203089033111</v>
      </c>
      <c r="X5" s="31">
        <f>AVERAGE(V5:W5)</f>
        <v>0.88217745808170722</v>
      </c>
      <c r="Y5" s="31">
        <f t="shared" si="15"/>
        <v>7.0363166126439771E-3</v>
      </c>
      <c r="Z5" s="25">
        <v>341.04433018922731</v>
      </c>
      <c r="AA5" s="25">
        <v>357.55131344275674</v>
      </c>
      <c r="AB5" s="25">
        <f t="shared" si="16"/>
        <v>0.83542201746375155</v>
      </c>
      <c r="AC5" s="25">
        <f t="shared" si="17"/>
        <v>0.85190086832040401</v>
      </c>
      <c r="AD5" s="32">
        <f t="shared" si="18"/>
        <v>0.84366144289207778</v>
      </c>
      <c r="AE5" s="32">
        <f t="shared" si="19"/>
        <v>1.1652307186900702E-2</v>
      </c>
      <c r="AF5" s="25">
        <v>358.76884714195558</v>
      </c>
      <c r="AG5" s="25">
        <v>350.28813705886887</v>
      </c>
      <c r="AH5" s="25">
        <f t="shared" si="20"/>
        <v>0.87875388135781618</v>
      </c>
      <c r="AI5" s="25">
        <f t="shared" si="21"/>
        <v>0.87743133374798066</v>
      </c>
      <c r="AJ5" s="33">
        <f>AVERAGE(AH5:AI5)</f>
        <v>0.87809260755289842</v>
      </c>
      <c r="AK5" s="33">
        <f t="shared" si="23"/>
        <v>9.3518238335675834E-4</v>
      </c>
    </row>
    <row r="6" spans="1:37" x14ac:dyDescent="0.35">
      <c r="A6" s="9">
        <v>65</v>
      </c>
      <c r="B6" s="25">
        <v>340.34350270764196</v>
      </c>
      <c r="C6" s="25">
        <v>337.55778377089581</v>
      </c>
      <c r="D6" s="25">
        <f t="shared" si="0"/>
        <v>0.85644707392647523</v>
      </c>
      <c r="E6" s="25">
        <f t="shared" si="1"/>
        <v>0.86524436411169559</v>
      </c>
      <c r="F6" s="28">
        <f t="shared" si="2"/>
        <v>0.86084571901908546</v>
      </c>
      <c r="G6" s="28">
        <f t="shared" si="3"/>
        <v>6.22062354603517E-3</v>
      </c>
      <c r="H6" s="25">
        <v>349.34994823998699</v>
      </c>
      <c r="I6" s="25">
        <v>350.97238202168381</v>
      </c>
      <c r="J6" s="25">
        <f t="shared" si="4"/>
        <v>0.87091453703284971</v>
      </c>
      <c r="K6" s="25">
        <f t="shared" si="5"/>
        <v>0.86672687810955651</v>
      </c>
      <c r="L6" s="29">
        <f t="shared" si="6"/>
        <v>0.86882070757120311</v>
      </c>
      <c r="M6" s="29">
        <f t="shared" si="7"/>
        <v>2.9611220219569801E-3</v>
      </c>
      <c r="N6" s="25">
        <v>351.05411910192601</v>
      </c>
      <c r="O6" s="25">
        <v>345.37410347969592</v>
      </c>
      <c r="P6" s="25">
        <f t="shared" si="8"/>
        <v>0.89319929547852839</v>
      </c>
      <c r="Q6" s="25">
        <f t="shared" si="9"/>
        <v>0.84258136979676979</v>
      </c>
      <c r="R6" s="30">
        <f t="shared" ref="R6:R13" si="24">AVERAGE(P6:Q6)</f>
        <v>0.86789033263764903</v>
      </c>
      <c r="S6" s="30">
        <f t="shared" si="11"/>
        <v>3.5792278499168204E-2</v>
      </c>
      <c r="T6" s="25">
        <v>326.48116172567802</v>
      </c>
      <c r="U6" s="25">
        <v>335.26104888218703</v>
      </c>
      <c r="V6" s="25">
        <f t="shared" si="12"/>
        <v>0.83713118391199492</v>
      </c>
      <c r="W6" s="25">
        <f t="shared" si="13"/>
        <v>0.83443936702221877</v>
      </c>
      <c r="X6" s="31">
        <f t="shared" ref="X6:X13" si="25">AVERAGE(V6:W6)</f>
        <v>0.8357852754671069</v>
      </c>
      <c r="Y6" s="31">
        <f t="shared" si="15"/>
        <v>1.9034019764732008E-3</v>
      </c>
      <c r="Z6" s="25">
        <v>326.92632449180633</v>
      </c>
      <c r="AA6" s="25">
        <v>354.44858142599003</v>
      </c>
      <c r="AB6" s="25">
        <f t="shared" si="16"/>
        <v>0.80083855790070868</v>
      </c>
      <c r="AC6" s="25">
        <f t="shared" si="17"/>
        <v>0.84450830674987498</v>
      </c>
      <c r="AD6" s="32">
        <f t="shared" si="18"/>
        <v>0.82267343232529178</v>
      </c>
      <c r="AE6" s="32">
        <f t="shared" si="19"/>
        <v>3.0879175543958921E-2</v>
      </c>
      <c r="AF6" s="25">
        <v>354.28963181775799</v>
      </c>
      <c r="AG6" s="25">
        <v>350.89198626731871</v>
      </c>
      <c r="AH6" s="25">
        <f t="shared" si="20"/>
        <v>0.86778267278457399</v>
      </c>
      <c r="AI6" s="25">
        <f t="shared" si="21"/>
        <v>0.87894390628555352</v>
      </c>
      <c r="AJ6" s="33">
        <f t="shared" ref="AJ6:AJ13" si="26">AVERAGE(AH6:AI6)</f>
        <v>0.87336328953506381</v>
      </c>
      <c r="AK6" s="33">
        <f t="shared" si="23"/>
        <v>7.8921838949490945E-3</v>
      </c>
    </row>
    <row r="7" spans="1:37" x14ac:dyDescent="0.35">
      <c r="A7" s="9">
        <v>113</v>
      </c>
      <c r="B7" s="25">
        <v>280.85145834435599</v>
      </c>
      <c r="C7" s="25">
        <v>293.10894338859703</v>
      </c>
      <c r="D7" s="25">
        <f t="shared" si="0"/>
        <v>0.70674012517767437</v>
      </c>
      <c r="E7" s="25">
        <f t="shared" si="1"/>
        <v>0.75131095631865541</v>
      </c>
      <c r="F7" s="28">
        <f t="shared" si="2"/>
        <v>0.72902554074816495</v>
      </c>
      <c r="G7" s="28">
        <f t="shared" si="3"/>
        <v>3.1516336942908237E-2</v>
      </c>
      <c r="H7" s="25">
        <v>332.48334082028089</v>
      </c>
      <c r="I7" s="25">
        <v>339.54906346491669</v>
      </c>
      <c r="J7" s="25">
        <f t="shared" si="4"/>
        <v>0.82886680333129137</v>
      </c>
      <c r="K7" s="25">
        <f t="shared" si="5"/>
        <v>0.83851697403298431</v>
      </c>
      <c r="L7" s="29">
        <f t="shared" si="6"/>
        <v>0.83369188868213784</v>
      </c>
      <c r="M7" s="29">
        <f t="shared" si="7"/>
        <v>6.8237011427748212E-3</v>
      </c>
      <c r="N7" s="25">
        <v>330.45386882935702</v>
      </c>
      <c r="O7" s="25">
        <v>338.24053174733785</v>
      </c>
      <c r="P7" s="25">
        <f t="shared" si="8"/>
        <v>0.84078535691768319</v>
      </c>
      <c r="Q7" s="25">
        <f t="shared" si="9"/>
        <v>0.82517816966903601</v>
      </c>
      <c r="R7" s="30">
        <f t="shared" si="24"/>
        <v>0.8329817632933596</v>
      </c>
      <c r="S7" s="30">
        <f t="shared" si="11"/>
        <v>1.1035947938766636E-2</v>
      </c>
      <c r="T7" s="25">
        <v>319.59205318138498</v>
      </c>
      <c r="U7" s="25">
        <v>329.54790433811201</v>
      </c>
      <c r="V7" s="25">
        <f t="shared" si="12"/>
        <v>0.81946680302919228</v>
      </c>
      <c r="W7" s="25">
        <f t="shared" si="13"/>
        <v>0.82021978281176766</v>
      </c>
      <c r="X7" s="31">
        <f t="shared" si="25"/>
        <v>0.81984329292047997</v>
      </c>
      <c r="Y7" s="31">
        <f t="shared" si="15"/>
        <v>5.3243711035542366E-4</v>
      </c>
      <c r="Z7" s="25">
        <v>339.0947659699342</v>
      </c>
      <c r="AA7" s="25">
        <v>353.21127031264433</v>
      </c>
      <c r="AB7" s="25">
        <f t="shared" si="16"/>
        <v>0.83064636594550667</v>
      </c>
      <c r="AC7" s="25">
        <f t="shared" si="17"/>
        <v>0.84156029237484065</v>
      </c>
      <c r="AD7" s="32">
        <f t="shared" si="18"/>
        <v>0.8361033291601736</v>
      </c>
      <c r="AE7" s="32">
        <f t="shared" si="19"/>
        <v>7.7173113875531373E-3</v>
      </c>
      <c r="AF7" s="25">
        <v>361.18039368570459</v>
      </c>
      <c r="AG7" s="25">
        <v>352.08634630245291</v>
      </c>
      <c r="AH7" s="25">
        <f t="shared" si="20"/>
        <v>0.88466062577633575</v>
      </c>
      <c r="AI7" s="25">
        <f t="shared" si="21"/>
        <v>0.88193564025462878</v>
      </c>
      <c r="AJ7" s="33">
        <f t="shared" si="26"/>
        <v>0.88329813301548232</v>
      </c>
      <c r="AK7" s="33">
        <f t="shared" si="23"/>
        <v>1.9268557410341595E-3</v>
      </c>
    </row>
    <row r="8" spans="1:37" x14ac:dyDescent="0.35">
      <c r="A8" s="9">
        <v>161</v>
      </c>
      <c r="B8" s="25">
        <v>256.79064768677199</v>
      </c>
      <c r="C8" s="25">
        <v>264.08330657736701</v>
      </c>
      <c r="D8" s="25">
        <f t="shared" si="0"/>
        <v>0.64619302872938922</v>
      </c>
      <c r="E8" s="25">
        <f t="shared" si="1"/>
        <v>0.67691104651620493</v>
      </c>
      <c r="F8" s="28">
        <f t="shared" si="2"/>
        <v>0.66155203762279702</v>
      </c>
      <c r="G8" s="28">
        <f t="shared" si="3"/>
        <v>2.1720918681666371E-2</v>
      </c>
      <c r="H8" s="25">
        <v>298.99680517059875</v>
      </c>
      <c r="I8" s="25">
        <v>320.73663271393247</v>
      </c>
      <c r="J8" s="25">
        <f t="shared" si="4"/>
        <v>0.7453862966384931</v>
      </c>
      <c r="K8" s="25">
        <f t="shared" si="5"/>
        <v>0.79205964516701854</v>
      </c>
      <c r="L8" s="29">
        <f t="shared" si="6"/>
        <v>0.76872297090275588</v>
      </c>
      <c r="M8" s="29">
        <f t="shared" si="7"/>
        <v>3.3003041245203514E-2</v>
      </c>
      <c r="N8" s="25">
        <v>318.02114790873014</v>
      </c>
      <c r="O8" s="25">
        <v>308.25929970780493</v>
      </c>
      <c r="P8" s="25">
        <f t="shared" si="8"/>
        <v>0.80915234946118664</v>
      </c>
      <c r="Q8" s="25">
        <f t="shared" si="9"/>
        <v>0.75203537376873619</v>
      </c>
      <c r="R8" s="30">
        <f t="shared" si="24"/>
        <v>0.78059386161496147</v>
      </c>
      <c r="S8" s="30">
        <f t="shared" si="11"/>
        <v>4.0387800832998907E-2</v>
      </c>
      <c r="T8" s="25">
        <v>312.64097130439802</v>
      </c>
      <c r="U8" s="25">
        <v>294.55852521868201</v>
      </c>
      <c r="V8" s="25">
        <f t="shared" si="12"/>
        <v>0.80164351616512308</v>
      </c>
      <c r="W8" s="25">
        <f t="shared" si="13"/>
        <v>0.73313386733705521</v>
      </c>
      <c r="X8" s="31">
        <f t="shared" si="25"/>
        <v>0.76738869175108915</v>
      </c>
      <c r="Y8" s="31">
        <f t="shared" si="15"/>
        <v>4.8443637263035799E-2</v>
      </c>
      <c r="Z8" s="25">
        <v>331.65583247278698</v>
      </c>
      <c r="AA8" s="25">
        <v>352.01255147580798</v>
      </c>
      <c r="AB8" s="25">
        <f t="shared" si="16"/>
        <v>0.81242395824115565</v>
      </c>
      <c r="AC8" s="25">
        <f t="shared" si="17"/>
        <v>0.83870422786163779</v>
      </c>
      <c r="AD8" s="32">
        <f t="shared" si="18"/>
        <v>0.82556409305139677</v>
      </c>
      <c r="AE8" s="32">
        <f t="shared" si="19"/>
        <v>1.8582956860053731E-2</v>
      </c>
      <c r="AF8" s="25">
        <v>350.09694728725799</v>
      </c>
      <c r="AG8" s="25">
        <v>351.867850656222</v>
      </c>
      <c r="AH8" s="25">
        <f t="shared" si="20"/>
        <v>0.85751328113076641</v>
      </c>
      <c r="AI8" s="25">
        <f t="shared" si="21"/>
        <v>0.88138833389164362</v>
      </c>
      <c r="AJ8" s="33">
        <f t="shared" si="26"/>
        <v>0.86945080751120507</v>
      </c>
      <c r="AK8" s="33">
        <f t="shared" si="23"/>
        <v>1.6882211708402872E-2</v>
      </c>
    </row>
    <row r="9" spans="1:37" x14ac:dyDescent="0.35">
      <c r="A9" s="9">
        <v>233</v>
      </c>
      <c r="B9" s="25">
        <v>249.01437111079699</v>
      </c>
      <c r="C9" s="25">
        <v>265.67457980465701</v>
      </c>
      <c r="D9" s="25">
        <f t="shared" si="0"/>
        <v>0.62662465364200659</v>
      </c>
      <c r="E9" s="25">
        <f t="shared" si="1"/>
        <v>0.68098987466910266</v>
      </c>
      <c r="F9" s="28">
        <f t="shared" si="2"/>
        <v>0.65380726415555457</v>
      </c>
      <c r="G9" s="28">
        <f t="shared" si="3"/>
        <v>3.8442016448965111E-2</v>
      </c>
      <c r="H9" s="25">
        <v>296.59882198020523</v>
      </c>
      <c r="I9" s="25">
        <v>294.46384651759593</v>
      </c>
      <c r="J9" s="25">
        <f t="shared" si="4"/>
        <v>0.73940822671005713</v>
      </c>
      <c r="K9" s="25">
        <f t="shared" si="5"/>
        <v>0.72717895618510375</v>
      </c>
      <c r="L9" s="29">
        <f t="shared" si="6"/>
        <v>0.73329359144758044</v>
      </c>
      <c r="M9" s="29">
        <f t="shared" si="7"/>
        <v>8.6474001171592992E-3</v>
      </c>
      <c r="N9" s="25">
        <v>315.41456271548208</v>
      </c>
      <c r="O9" s="25">
        <v>319.61511484712202</v>
      </c>
      <c r="P9" s="25">
        <f t="shared" si="8"/>
        <v>0.80252032342437496</v>
      </c>
      <c r="Q9" s="25">
        <f t="shared" si="9"/>
        <v>0.77973924090539648</v>
      </c>
      <c r="R9" s="30">
        <f t="shared" si="24"/>
        <v>0.79112978216488572</v>
      </c>
      <c r="S9" s="30">
        <f t="shared" si="11"/>
        <v>1.6108657931939999E-2</v>
      </c>
      <c r="T9" s="25">
        <v>295.753865181332</v>
      </c>
      <c r="U9" s="25">
        <v>292.49588418473002</v>
      </c>
      <c r="V9" s="25">
        <f t="shared" si="12"/>
        <v>0.75834324405469744</v>
      </c>
      <c r="W9" s="25">
        <f t="shared" si="13"/>
        <v>0.72800010997244768</v>
      </c>
      <c r="X9" s="31">
        <f t="shared" si="25"/>
        <v>0.74317167701357256</v>
      </c>
      <c r="Y9" s="31">
        <f t="shared" si="15"/>
        <v>2.1455835872011452E-2</v>
      </c>
      <c r="Z9" s="25">
        <v>331.49896041917202</v>
      </c>
      <c r="AA9" s="25">
        <v>354.02398568775959</v>
      </c>
      <c r="AB9" s="25">
        <f t="shared" si="16"/>
        <v>0.81203968453854936</v>
      </c>
      <c r="AC9" s="25">
        <f t="shared" si="17"/>
        <v>0.84349666600214346</v>
      </c>
      <c r="AD9" s="32">
        <f t="shared" si="18"/>
        <v>0.82776817527034641</v>
      </c>
      <c r="AE9" s="32">
        <f t="shared" si="19"/>
        <v>2.2243444908566914E-2</v>
      </c>
      <c r="AF9" s="25">
        <v>350.38948397782798</v>
      </c>
      <c r="AG9" s="25">
        <v>356.66054818813097</v>
      </c>
      <c r="AH9" s="25">
        <f t="shared" si="20"/>
        <v>0.85822980865071641</v>
      </c>
      <c r="AI9" s="25">
        <f t="shared" si="21"/>
        <v>0.89339348777148175</v>
      </c>
      <c r="AJ9" s="33">
        <f t="shared" si="26"/>
        <v>0.87581164821109914</v>
      </c>
      <c r="AK9" s="33">
        <f t="shared" si="23"/>
        <v>2.4864475957760989E-2</v>
      </c>
    </row>
    <row r="10" spans="1:37" x14ac:dyDescent="0.35">
      <c r="A10" s="9">
        <v>305</v>
      </c>
      <c r="B10" s="25">
        <v>232.39282042180901</v>
      </c>
      <c r="C10" s="25">
        <v>250.11174022361499</v>
      </c>
      <c r="D10" s="25">
        <f t="shared" si="0"/>
        <v>0.58479785707191678</v>
      </c>
      <c r="E10" s="25">
        <f t="shared" si="1"/>
        <v>0.64109845493454742</v>
      </c>
      <c r="F10" s="28">
        <f t="shared" si="2"/>
        <v>0.61294815600323216</v>
      </c>
      <c r="G10" s="28">
        <f t="shared" si="3"/>
        <v>3.981053453352297E-2</v>
      </c>
      <c r="H10" s="25">
        <v>300.42072363685213</v>
      </c>
      <c r="I10" s="25">
        <v>296.71435828005519</v>
      </c>
      <c r="J10" s="25">
        <f t="shared" si="4"/>
        <v>0.7489360647093265</v>
      </c>
      <c r="K10" s="25">
        <f t="shared" si="5"/>
        <v>0.7327365987061174</v>
      </c>
      <c r="L10" s="29">
        <f t="shared" si="6"/>
        <v>0.74083633170772201</v>
      </c>
      <c r="M10" s="29">
        <f t="shared" si="7"/>
        <v>1.1454752262470089E-2</v>
      </c>
      <c r="N10" s="25">
        <v>322.73039863050707</v>
      </c>
      <c r="O10" s="25">
        <v>318.42542070999446</v>
      </c>
      <c r="P10" s="25">
        <f t="shared" si="8"/>
        <v>0.82113426107550846</v>
      </c>
      <c r="Q10" s="25">
        <f t="shared" si="9"/>
        <v>0.7768368399853488</v>
      </c>
      <c r="R10" s="30">
        <f t="shared" si="24"/>
        <v>0.79898555053042863</v>
      </c>
      <c r="S10" s="30">
        <f t="shared" si="11"/>
        <v>3.1323006841927882E-2</v>
      </c>
      <c r="T10" s="25">
        <v>262.54237292761798</v>
      </c>
      <c r="U10" s="25">
        <v>278.78265443919503</v>
      </c>
      <c r="V10" s="25">
        <f t="shared" si="12"/>
        <v>0.67318557160927683</v>
      </c>
      <c r="W10" s="25">
        <f t="shared" si="13"/>
        <v>0.69386891940662809</v>
      </c>
      <c r="X10" s="31">
        <f t="shared" si="25"/>
        <v>0.68352724550795241</v>
      </c>
      <c r="Y10" s="31">
        <f t="shared" si="15"/>
        <v>1.4625335485146917E-2</v>
      </c>
      <c r="Z10" s="25">
        <v>333.58129386419103</v>
      </c>
      <c r="AA10" s="25">
        <v>352.23723200474501</v>
      </c>
      <c r="AB10" s="25">
        <f t="shared" si="16"/>
        <v>0.81714056748448427</v>
      </c>
      <c r="AC10" s="25">
        <f t="shared" si="17"/>
        <v>0.83923955112993498</v>
      </c>
      <c r="AD10" s="32">
        <f t="shared" si="18"/>
        <v>0.82819005930720957</v>
      </c>
      <c r="AE10" s="32">
        <f t="shared" si="19"/>
        <v>1.5626341193028807E-2</v>
      </c>
      <c r="AF10" s="25">
        <v>350.40190717325402</v>
      </c>
      <c r="AG10" s="25">
        <v>353.09701101850698</v>
      </c>
      <c r="AH10" s="25">
        <f t="shared" si="20"/>
        <v>0.85826023752236025</v>
      </c>
      <c r="AI10" s="25">
        <f t="shared" si="21"/>
        <v>0.88446723866165766</v>
      </c>
      <c r="AJ10" s="33">
        <f t="shared" si="26"/>
        <v>0.87136373809200895</v>
      </c>
      <c r="AK10" s="33">
        <f t="shared" si="23"/>
        <v>1.8531148220160779E-2</v>
      </c>
    </row>
    <row r="11" spans="1:37" x14ac:dyDescent="0.35">
      <c r="A11" s="9">
        <v>353</v>
      </c>
      <c r="B11" s="25">
        <v>204.79116862142999</v>
      </c>
      <c r="C11" s="25">
        <v>239.48104138070096</v>
      </c>
      <c r="D11" s="25">
        <f t="shared" si="0"/>
        <v>0.5153405184363723</v>
      </c>
      <c r="E11" s="25">
        <f t="shared" si="1"/>
        <v>0.61384933581293666</v>
      </c>
      <c r="F11" s="28">
        <f t="shared" si="2"/>
        <v>0.56459492712465442</v>
      </c>
      <c r="G11" s="28">
        <f t="shared" si="3"/>
        <v>6.9656252773635866E-2</v>
      </c>
      <c r="H11" s="25">
        <v>306.3505096951958</v>
      </c>
      <c r="I11" s="25">
        <v>303.88202183551743</v>
      </c>
      <c r="J11" s="25">
        <f t="shared" si="4"/>
        <v>0.76371876871636579</v>
      </c>
      <c r="K11" s="25">
        <f t="shared" si="5"/>
        <v>0.75043715571570468</v>
      </c>
      <c r="L11" s="29">
        <f t="shared" si="6"/>
        <v>0.75707796221603529</v>
      </c>
      <c r="M11" s="29">
        <f t="shared" si="7"/>
        <v>9.3915186178628787E-3</v>
      </c>
      <c r="N11" s="25">
        <v>314.59458537216</v>
      </c>
      <c r="O11" s="25">
        <v>317.37288625663348</v>
      </c>
      <c r="P11" s="25">
        <f t="shared" si="8"/>
        <v>0.80043402633936345</v>
      </c>
      <c r="Q11" s="25">
        <f t="shared" si="9"/>
        <v>0.77426905649337274</v>
      </c>
      <c r="R11" s="30">
        <f t="shared" si="24"/>
        <v>0.78735154141636809</v>
      </c>
      <c r="S11" s="30">
        <f t="shared" si="11"/>
        <v>1.8501427607641563E-2</v>
      </c>
      <c r="T11" s="25">
        <v>245.31449065101901</v>
      </c>
      <c r="U11" s="25">
        <v>255.753865181332</v>
      </c>
      <c r="V11" s="25">
        <f t="shared" si="12"/>
        <v>0.62901151448979231</v>
      </c>
      <c r="W11" s="25">
        <f t="shared" si="13"/>
        <v>0.63655200652429689</v>
      </c>
      <c r="X11" s="31">
        <f t="shared" si="25"/>
        <v>0.6327817605070446</v>
      </c>
      <c r="Y11" s="31">
        <f t="shared" si="15"/>
        <v>5.3319330510813315E-3</v>
      </c>
      <c r="Z11" s="25">
        <v>335.73357470375402</v>
      </c>
      <c r="AA11" s="25">
        <v>334.89540659828498</v>
      </c>
      <c r="AB11" s="25">
        <f t="shared" si="16"/>
        <v>0.82241279353245478</v>
      </c>
      <c r="AC11" s="25">
        <f t="shared" si="17"/>
        <v>0.79792096113574851</v>
      </c>
      <c r="AD11" s="32">
        <f t="shared" si="18"/>
        <v>0.81016687733410164</v>
      </c>
      <c r="AE11" s="32">
        <f t="shared" si="19"/>
        <v>1.7318340771395376E-2</v>
      </c>
      <c r="AF11" s="25">
        <v>350.742000681972</v>
      </c>
      <c r="AG11" s="25">
        <v>354.06212856190302</v>
      </c>
      <c r="AH11" s="25">
        <f t="shared" si="20"/>
        <v>0.8590932487862738</v>
      </c>
      <c r="AI11" s="25">
        <f t="shared" si="21"/>
        <v>0.8868847466607459</v>
      </c>
      <c r="AJ11" s="33">
        <f t="shared" si="26"/>
        <v>0.87298899772350991</v>
      </c>
      <c r="AK11" s="33">
        <f t="shared" si="23"/>
        <v>1.9651556606370746E-2</v>
      </c>
    </row>
    <row r="12" spans="1:37" x14ac:dyDescent="0.35">
      <c r="A12" s="9">
        <v>425</v>
      </c>
      <c r="B12" s="25">
        <v>200.485827416608</v>
      </c>
      <c r="C12" s="25">
        <v>199.826094454665</v>
      </c>
      <c r="D12" s="25">
        <f t="shared" si="0"/>
        <v>0.50450647327966991</v>
      </c>
      <c r="E12" s="25">
        <f t="shared" si="1"/>
        <v>0.51220386654362648</v>
      </c>
      <c r="F12" s="28">
        <f t="shared" si="2"/>
        <v>0.5083551699116482</v>
      </c>
      <c r="G12" s="28">
        <f t="shared" si="3"/>
        <v>5.442878974403347E-3</v>
      </c>
      <c r="H12" s="25">
        <v>289.68193316521456</v>
      </c>
      <c r="I12" s="25">
        <v>293.98875064873482</v>
      </c>
      <c r="J12" s="25">
        <f t="shared" si="4"/>
        <v>0.72216471758585632</v>
      </c>
      <c r="K12" s="25">
        <f t="shared" si="5"/>
        <v>0.72600570615087379</v>
      </c>
      <c r="L12" s="29">
        <f t="shared" si="6"/>
        <v>0.72408521186836505</v>
      </c>
      <c r="M12" s="29">
        <f t="shared" si="7"/>
        <v>2.715989060783837E-3</v>
      </c>
      <c r="N12" s="25">
        <v>319.53033915638781</v>
      </c>
      <c r="O12" s="25">
        <v>312.18621776360158</v>
      </c>
      <c r="P12" s="25">
        <f t="shared" si="8"/>
        <v>0.81299223763170203</v>
      </c>
      <c r="Q12" s="25">
        <f t="shared" si="9"/>
        <v>0.76161555931593461</v>
      </c>
      <c r="R12" s="30">
        <f t="shared" si="24"/>
        <v>0.78730389847381832</v>
      </c>
      <c r="S12" s="30">
        <f t="shared" si="11"/>
        <v>3.6328797631918992E-2</v>
      </c>
      <c r="T12" s="25">
        <v>227.55937209928328</v>
      </c>
      <c r="U12" s="25">
        <v>244.55852521868201</v>
      </c>
      <c r="V12" s="25">
        <f t="shared" si="12"/>
        <v>0.58348556948534169</v>
      </c>
      <c r="W12" s="25">
        <f t="shared" si="13"/>
        <v>0.60868765299089556</v>
      </c>
      <c r="X12" s="31">
        <f t="shared" si="25"/>
        <v>0.59608661123811868</v>
      </c>
      <c r="Y12" s="31">
        <f t="shared" si="15"/>
        <v>1.7820564146806772E-2</v>
      </c>
      <c r="Z12" s="25">
        <v>334.27513615797699</v>
      </c>
      <c r="AA12" s="25">
        <v>320.843608040589</v>
      </c>
      <c r="AB12" s="25">
        <f t="shared" si="16"/>
        <v>0.81884020321381812</v>
      </c>
      <c r="AC12" s="25">
        <f t="shared" si="17"/>
        <v>0.76444118091203217</v>
      </c>
      <c r="AD12" s="32">
        <f t="shared" si="18"/>
        <v>0.79164069206292509</v>
      </c>
      <c r="AE12" s="32">
        <f t="shared" si="19"/>
        <v>3.8465917559511079E-2</v>
      </c>
      <c r="AF12" s="25">
        <v>352.01938047251201</v>
      </c>
      <c r="AG12" s="25">
        <v>350.36589932944003</v>
      </c>
      <c r="AH12" s="25">
        <f t="shared" si="20"/>
        <v>0.86222201110175134</v>
      </c>
      <c r="AI12" s="25">
        <f t="shared" si="21"/>
        <v>0.87762611925614953</v>
      </c>
      <c r="AJ12" s="33">
        <f t="shared" si="26"/>
        <v>0.86992406517895038</v>
      </c>
      <c r="AK12" s="33">
        <f t="shared" si="23"/>
        <v>1.0892349334105952E-2</v>
      </c>
    </row>
    <row r="13" spans="1:37" x14ac:dyDescent="0.35">
      <c r="A13" s="9">
        <v>497</v>
      </c>
      <c r="B13" s="25">
        <v>165.175530488692</v>
      </c>
      <c r="C13" s="25">
        <v>154.485827416608</v>
      </c>
      <c r="D13" s="25">
        <f t="shared" si="0"/>
        <v>0.41565094866174795</v>
      </c>
      <c r="E13" s="25">
        <f t="shared" si="1"/>
        <v>0.39598551102608875</v>
      </c>
      <c r="F13" s="28">
        <f t="shared" si="2"/>
        <v>0.40581822984391835</v>
      </c>
      <c r="G13" s="28">
        <f t="shared" si="3"/>
        <v>1.3905564307175766E-2</v>
      </c>
      <c r="H13" s="25">
        <v>288.73616340406602</v>
      </c>
      <c r="I13" s="25">
        <v>296.02390946058478</v>
      </c>
      <c r="J13" s="25">
        <f t="shared" si="4"/>
        <v>0.71980695386549498</v>
      </c>
      <c r="K13" s="25">
        <f t="shared" si="5"/>
        <v>0.73103153420404199</v>
      </c>
      <c r="L13" s="29">
        <f t="shared" si="6"/>
        <v>0.72541924403476843</v>
      </c>
      <c r="M13" s="29">
        <f t="shared" si="7"/>
        <v>7.9369768733597822E-3</v>
      </c>
      <c r="N13" s="25">
        <v>325.21271010941081</v>
      </c>
      <c r="O13" s="25">
        <v>310.36396035212277</v>
      </c>
      <c r="P13" s="25">
        <f t="shared" si="8"/>
        <v>0.82745009314660667</v>
      </c>
      <c r="Q13" s="25">
        <f t="shared" si="9"/>
        <v>0.75716994474779897</v>
      </c>
      <c r="R13" s="30">
        <f t="shared" si="24"/>
        <v>0.79231001894720277</v>
      </c>
      <c r="S13" s="30">
        <f t="shared" si="11"/>
        <v>4.9695569515593806E-2</v>
      </c>
      <c r="T13" s="25">
        <v>192.542372927618</v>
      </c>
      <c r="U13" s="25">
        <v>197.53662520991853</v>
      </c>
      <c r="V13" s="25">
        <f t="shared" si="12"/>
        <v>0.49369839212209743</v>
      </c>
      <c r="W13" s="25">
        <f t="shared" si="13"/>
        <v>0.4916537040418103</v>
      </c>
      <c r="X13" s="31">
        <f t="shared" si="25"/>
        <v>0.49267604808195387</v>
      </c>
      <c r="Y13" s="31">
        <f t="shared" si="15"/>
        <v>1.4458128069823315E-3</v>
      </c>
      <c r="Z13" s="25">
        <v>333.068584560646</v>
      </c>
      <c r="AA13" s="25">
        <v>320.00466585919099</v>
      </c>
      <c r="AB13" s="25">
        <f t="shared" si="16"/>
        <v>0.81588463503575437</v>
      </c>
      <c r="AC13" s="25">
        <f t="shared" si="17"/>
        <v>0.76244231936144247</v>
      </c>
      <c r="AD13" s="32">
        <f t="shared" si="18"/>
        <v>0.78916347719859847</v>
      </c>
      <c r="AE13" s="32">
        <f t="shared" si="19"/>
        <v>3.7789423815618062E-2</v>
      </c>
      <c r="AF13" s="25">
        <v>354.66662702412998</v>
      </c>
      <c r="AG13" s="25">
        <v>352.56575448035397</v>
      </c>
      <c r="AH13" s="25">
        <f t="shared" si="20"/>
        <v>0.86870606957192542</v>
      </c>
      <c r="AI13" s="25">
        <f t="shared" si="21"/>
        <v>0.88313650238052688</v>
      </c>
      <c r="AJ13" s="33">
        <f t="shared" si="26"/>
        <v>0.8759212859762262</v>
      </c>
      <c r="AK13" s="33">
        <f t="shared" si="23"/>
        <v>1.0203856894418927E-2</v>
      </c>
    </row>
    <row r="14" spans="1:37" x14ac:dyDescent="0.35">
      <c r="A14" s="9">
        <v>593</v>
      </c>
      <c r="B14" s="25">
        <v>0</v>
      </c>
      <c r="C14" s="25">
        <v>0</v>
      </c>
      <c r="D14" s="25">
        <f t="shared" si="0"/>
        <v>0</v>
      </c>
      <c r="E14" s="25">
        <f t="shared" si="1"/>
        <v>0</v>
      </c>
      <c r="F14" s="28">
        <f t="shared" si="2"/>
        <v>0</v>
      </c>
      <c r="G14" s="28">
        <f t="shared" si="3"/>
        <v>0</v>
      </c>
      <c r="H14" s="23">
        <v>293.60140764136997</v>
      </c>
      <c r="I14" s="23">
        <v>303.81164548977904</v>
      </c>
      <c r="J14" s="25">
        <f t="shared" si="4"/>
        <v>0.73193580046710538</v>
      </c>
      <c r="K14" s="25">
        <f t="shared" si="5"/>
        <v>0.75026336121346138</v>
      </c>
      <c r="L14" s="29">
        <f t="shared" ref="L14" si="27">AVERAGE(J14:K14)</f>
        <v>0.74109958084028338</v>
      </c>
      <c r="M14" s="29">
        <f t="shared" ref="M14" si="28">STDEV(J14:K14)</f>
        <v>1.2959542486356708E-2</v>
      </c>
      <c r="N14" s="25">
        <v>320.18457072961797</v>
      </c>
      <c r="O14" s="25">
        <v>311.145081089092</v>
      </c>
      <c r="P14" s="25">
        <f t="shared" si="8"/>
        <v>0.81465682194646205</v>
      </c>
      <c r="Q14" s="25">
        <f t="shared" si="9"/>
        <v>0.7590755820665821</v>
      </c>
      <c r="R14" s="30">
        <f t="shared" ref="R14" si="29">AVERAGE(P14:Q14)</f>
        <v>0.78686620200652202</v>
      </c>
      <c r="S14" s="30">
        <f t="shared" ref="S14" si="30">STDEV(P14:Q14)</f>
        <v>3.930187162581928E-2</v>
      </c>
      <c r="T14" s="23">
        <v>151.58859849069339</v>
      </c>
      <c r="U14" s="23">
        <v>168.73693487405342</v>
      </c>
      <c r="V14" s="25">
        <f t="shared" si="12"/>
        <v>0.38868871407870098</v>
      </c>
      <c r="W14" s="25">
        <f t="shared" si="13"/>
        <v>0.41997345530900848</v>
      </c>
      <c r="X14" s="31">
        <f t="shared" ref="X14" si="31">AVERAGE(V14:W14)</f>
        <v>0.4043310846938547</v>
      </c>
      <c r="Y14" s="31">
        <f t="shared" ref="Y14" si="32">STDEV(V14:W14)</f>
        <v>2.2121652671616806E-2</v>
      </c>
      <c r="Z14" s="23">
        <v>321.44847835013201</v>
      </c>
      <c r="AA14" s="23">
        <v>316.85130096491002</v>
      </c>
      <c r="AB14" s="25">
        <f t="shared" si="16"/>
        <v>0.78742002878311734</v>
      </c>
      <c r="AC14" s="25">
        <f t="shared" si="17"/>
        <v>0.75492912002313517</v>
      </c>
      <c r="AD14" s="32">
        <f t="shared" ref="AD14" si="33">AVERAGE(AB14:AC14)</f>
        <v>0.7711745744031262</v>
      </c>
      <c r="AE14" s="32">
        <f t="shared" ref="AE14" si="34">STDEV(AB14:AC14)</f>
        <v>2.2974541911096793E-2</v>
      </c>
      <c r="AF14" s="23">
        <v>352.574728706418</v>
      </c>
      <c r="AG14" s="23">
        <v>330.55783060772785</v>
      </c>
      <c r="AH14" s="25">
        <f t="shared" si="20"/>
        <v>0.86358225857010806</v>
      </c>
      <c r="AI14" s="25">
        <f t="shared" si="21"/>
        <v>0.82800919444849419</v>
      </c>
      <c r="AJ14" s="33">
        <f t="shared" ref="AJ14" si="35">AVERAGE(AH14:AI14)</f>
        <v>0.84579572650930113</v>
      </c>
      <c r="AK14" s="33">
        <f t="shared" ref="AK14" si="36">STDEV(AH14:AI14)</f>
        <v>2.5153954867977044E-2</v>
      </c>
    </row>
    <row r="15" spans="1:37" x14ac:dyDescent="0.35">
      <c r="A15" s="9">
        <v>737</v>
      </c>
      <c r="B15" s="25">
        <v>0</v>
      </c>
      <c r="C15" s="25">
        <v>0</v>
      </c>
      <c r="D15" s="25">
        <f t="shared" si="0"/>
        <v>0</v>
      </c>
      <c r="E15" s="25">
        <f t="shared" si="1"/>
        <v>0</v>
      </c>
      <c r="F15" s="28">
        <f t="shared" si="2"/>
        <v>0</v>
      </c>
      <c r="G15" s="28">
        <f t="shared" si="3"/>
        <v>0</v>
      </c>
      <c r="H15" s="23">
        <v>298.28822281290451</v>
      </c>
      <c r="I15" s="23">
        <v>306.13593107902915</v>
      </c>
      <c r="J15" s="25">
        <f t="shared" si="4"/>
        <v>0.743619831009659</v>
      </c>
      <c r="K15" s="25">
        <f t="shared" si="5"/>
        <v>0.75600318832179869</v>
      </c>
      <c r="L15" s="29">
        <f t="shared" ref="L15" si="37">AVERAGE(J15:K15)</f>
        <v>0.74981150966572885</v>
      </c>
      <c r="M15" s="29">
        <f t="shared" ref="M15" si="38">STDEV(J15:K15)</f>
        <v>8.7563559292699912E-3</v>
      </c>
      <c r="N15" s="23">
        <v>322.527937541445</v>
      </c>
      <c r="O15" s="23">
        <v>309.616965269525</v>
      </c>
      <c r="P15" s="25">
        <f t="shared" si="8"/>
        <v>0.8206191322327685</v>
      </c>
      <c r="Q15" s="25">
        <f t="shared" si="9"/>
        <v>0.75534756103811906</v>
      </c>
      <c r="R15" s="30">
        <f t="shared" ref="R15" si="39">AVERAGE(P15:Q15)</f>
        <v>0.78798334663544378</v>
      </c>
      <c r="S15" s="30">
        <f t="shared" ref="S15" si="40">STDEV(P15:Q15)</f>
        <v>4.6153970610437134E-2</v>
      </c>
      <c r="T15" s="23">
        <v>122.783173113299</v>
      </c>
      <c r="U15" s="23">
        <v>101.66124627507099</v>
      </c>
      <c r="V15" s="25">
        <f t="shared" si="12"/>
        <v>0.31482864900845897</v>
      </c>
      <c r="W15" s="25">
        <f t="shared" si="13"/>
        <v>0.25302714489290407</v>
      </c>
      <c r="X15" s="31">
        <f t="shared" ref="X15" si="41">AVERAGE(V15:W15)</f>
        <v>0.28392789695068155</v>
      </c>
      <c r="Y15" s="31">
        <f t="shared" ref="Y15" si="42">STDEV(V15:W15)</f>
        <v>4.3700262647636698E-2</v>
      </c>
      <c r="Z15" s="23">
        <v>314.45924238651003</v>
      </c>
      <c r="AA15" s="23">
        <v>320.23223426225002</v>
      </c>
      <c r="AB15" s="25">
        <f t="shared" si="16"/>
        <v>0.7702991999277613</v>
      </c>
      <c r="AC15" s="25">
        <f t="shared" si="17"/>
        <v>0.76298452327142563</v>
      </c>
      <c r="AD15" s="32">
        <f t="shared" ref="AD15" si="43">AVERAGE(AB15:AC15)</f>
        <v>0.76664186159959347</v>
      </c>
      <c r="AE15" s="32">
        <f t="shared" ref="AE15" si="44">STDEV(AB15:AC15)</f>
        <v>5.1722574658818951E-3</v>
      </c>
      <c r="AF15" s="23">
        <v>349.36205249026102</v>
      </c>
      <c r="AG15" s="23">
        <v>323.13151003090297</v>
      </c>
      <c r="AH15" s="25">
        <f t="shared" si="20"/>
        <v>0.85571325958375843</v>
      </c>
      <c r="AI15" s="25">
        <f t="shared" si="21"/>
        <v>0.8094071189592279</v>
      </c>
      <c r="AJ15" s="33">
        <f t="shared" ref="AJ15" si="45">AVERAGE(AH15:AI15)</f>
        <v>0.83256018927149311</v>
      </c>
      <c r="AK15" s="33">
        <f t="shared" ref="AK15" si="46">STDEV(AH15:AI15)</f>
        <v>3.2743386046183411E-2</v>
      </c>
    </row>
    <row r="16" spans="1:37" x14ac:dyDescent="0.35">
      <c r="T16" s="13"/>
      <c r="U16" s="13"/>
    </row>
    <row r="18" spans="2:21" x14ac:dyDescent="0.35">
      <c r="B18" s="25"/>
      <c r="C18" s="25"/>
      <c r="D18" s="11"/>
      <c r="F18" s="11"/>
      <c r="T18" s="25"/>
      <c r="U18" s="25"/>
    </row>
    <row r="19" spans="2:21" x14ac:dyDescent="0.35">
      <c r="B19" s="25"/>
      <c r="C19" s="25"/>
      <c r="D19" s="11"/>
      <c r="F19" s="11"/>
      <c r="T19" s="25"/>
      <c r="U19" s="25"/>
    </row>
    <row r="20" spans="2:21" x14ac:dyDescent="0.35">
      <c r="B20" s="25"/>
      <c r="C20" s="25"/>
      <c r="D20" s="11"/>
      <c r="F20" s="11"/>
      <c r="T20" s="25"/>
      <c r="U20" s="25"/>
    </row>
    <row r="21" spans="2:21" x14ac:dyDescent="0.35">
      <c r="B21" s="25"/>
      <c r="C21" s="25"/>
      <c r="D21" s="11"/>
      <c r="F21" s="11"/>
      <c r="T21" s="25"/>
      <c r="U21" s="25"/>
    </row>
    <row r="22" spans="2:21" x14ac:dyDescent="0.35">
      <c r="B22" s="25"/>
      <c r="C22" s="25"/>
      <c r="D22" s="11"/>
      <c r="F22" s="11"/>
      <c r="T22" s="25"/>
      <c r="U22" s="25"/>
    </row>
    <row r="23" spans="2:21" x14ac:dyDescent="0.35">
      <c r="B23" s="25"/>
      <c r="C23" s="25"/>
      <c r="D23" s="11"/>
      <c r="F23" s="11"/>
      <c r="T23" s="25"/>
      <c r="U23" s="25"/>
    </row>
    <row r="24" spans="2:21" s="46" customFormat="1" x14ac:dyDescent="0.35">
      <c r="B24" s="47"/>
      <c r="C24" s="47"/>
      <c r="D24" s="48"/>
      <c r="F24" s="48"/>
      <c r="T24" s="47"/>
      <c r="U24" s="47"/>
    </row>
    <row r="25" spans="2:21" x14ac:dyDescent="0.35">
      <c r="B25" s="25"/>
      <c r="C25" s="25"/>
      <c r="D25" s="11"/>
      <c r="F25" s="11"/>
      <c r="T25" s="25"/>
      <c r="U25" s="25"/>
    </row>
    <row r="26" spans="2:21" x14ac:dyDescent="0.35">
      <c r="B26" s="25"/>
      <c r="C26" s="25"/>
      <c r="D26" s="11"/>
      <c r="F26" s="11"/>
      <c r="T26" s="25"/>
      <c r="U26" s="25"/>
    </row>
    <row r="27" spans="2:21" x14ac:dyDescent="0.35">
      <c r="B27" s="25"/>
      <c r="C27" s="25"/>
      <c r="D27" s="11"/>
      <c r="F27" s="11"/>
      <c r="T27" s="25"/>
      <c r="U27" s="25"/>
    </row>
    <row r="28" spans="2:21" x14ac:dyDescent="0.35">
      <c r="B28" s="25"/>
      <c r="C28" s="25"/>
      <c r="D28" s="11"/>
      <c r="F28" s="11"/>
      <c r="T28" s="25"/>
      <c r="U28" s="25"/>
    </row>
    <row r="29" spans="2:21" x14ac:dyDescent="0.35">
      <c r="B29" s="25"/>
      <c r="C29" s="25"/>
      <c r="D29" s="11"/>
      <c r="F29" s="11"/>
      <c r="T29" s="23"/>
      <c r="U29" s="23"/>
    </row>
    <row r="30" spans="2:21" x14ac:dyDescent="0.35">
      <c r="B30" s="25"/>
      <c r="C30" s="25"/>
      <c r="D30" s="11"/>
      <c r="F30" s="11"/>
      <c r="T30" s="23"/>
      <c r="U30" s="23"/>
    </row>
  </sheetData>
  <mergeCells count="7">
    <mergeCell ref="Z1:AE1"/>
    <mergeCell ref="AF1:AK1"/>
    <mergeCell ref="A1:A2"/>
    <mergeCell ref="B1:G1"/>
    <mergeCell ref="H1:M1"/>
    <mergeCell ref="N1:S1"/>
    <mergeCell ref="T1:Y1"/>
  </mergeCells>
  <pageMargins left="0.7" right="0.7" top="0.75" bottom="0.75" header="0.3" footer="0.3"/>
  <pageSetup paperSize="9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A4CAA-42E0-4811-986A-F3D1B7A07080}">
  <dimension ref="A1:AK20"/>
  <sheetViews>
    <sheetView zoomScale="94" zoomScaleNormal="94" workbookViewId="0">
      <selection activeCell="AG21" sqref="AG21"/>
    </sheetView>
  </sheetViews>
  <sheetFormatPr defaultRowHeight="14.5" x14ac:dyDescent="0.35"/>
  <cols>
    <col min="1" max="16384" width="8.7265625" style="9"/>
  </cols>
  <sheetData>
    <row r="1" spans="1:37" x14ac:dyDescent="0.35">
      <c r="A1" s="51" t="s">
        <v>0</v>
      </c>
      <c r="B1" s="52" t="s">
        <v>3</v>
      </c>
      <c r="C1" s="52"/>
      <c r="D1" s="52"/>
      <c r="E1" s="52"/>
      <c r="F1" s="52"/>
      <c r="G1" s="52"/>
      <c r="H1" s="53" t="s">
        <v>4</v>
      </c>
      <c r="I1" s="53"/>
      <c r="J1" s="53"/>
      <c r="K1" s="53"/>
      <c r="L1" s="53"/>
      <c r="M1" s="53"/>
      <c r="N1" s="54" t="s">
        <v>5</v>
      </c>
      <c r="O1" s="54"/>
      <c r="P1" s="54"/>
      <c r="Q1" s="54"/>
      <c r="R1" s="54"/>
      <c r="S1" s="54"/>
      <c r="T1" s="55" t="s">
        <v>6</v>
      </c>
      <c r="U1" s="55"/>
      <c r="V1" s="55"/>
      <c r="W1" s="55"/>
      <c r="X1" s="55"/>
      <c r="Y1" s="55"/>
      <c r="Z1" s="49" t="s">
        <v>7</v>
      </c>
      <c r="AA1" s="49"/>
      <c r="AB1" s="49"/>
      <c r="AC1" s="49"/>
      <c r="AD1" s="49"/>
      <c r="AE1" s="49"/>
      <c r="AF1" s="50" t="s">
        <v>8</v>
      </c>
      <c r="AG1" s="50"/>
      <c r="AH1" s="50"/>
      <c r="AI1" s="50"/>
      <c r="AJ1" s="50"/>
      <c r="AK1" s="50"/>
    </row>
    <row r="2" spans="1:37" x14ac:dyDescent="0.35">
      <c r="A2" s="51"/>
      <c r="B2" s="14">
        <v>1</v>
      </c>
      <c r="C2" s="14">
        <v>2</v>
      </c>
      <c r="D2" s="15">
        <v>0.01</v>
      </c>
      <c r="E2" s="15">
        <v>0.02</v>
      </c>
      <c r="F2" s="16" t="s">
        <v>1</v>
      </c>
      <c r="G2" s="16" t="s">
        <v>2</v>
      </c>
      <c r="H2" s="14">
        <v>1</v>
      </c>
      <c r="I2" s="14">
        <v>2</v>
      </c>
      <c r="J2" s="15">
        <v>0.01</v>
      </c>
      <c r="K2" s="15">
        <v>0.02</v>
      </c>
      <c r="L2" s="17" t="s">
        <v>1</v>
      </c>
      <c r="M2" s="17" t="s">
        <v>2</v>
      </c>
      <c r="N2" s="14">
        <v>1</v>
      </c>
      <c r="O2" s="14">
        <v>2</v>
      </c>
      <c r="P2" s="15">
        <v>0.01</v>
      </c>
      <c r="Q2" s="15">
        <v>0.02</v>
      </c>
      <c r="R2" s="18" t="s">
        <v>1</v>
      </c>
      <c r="S2" s="18" t="s">
        <v>2</v>
      </c>
      <c r="T2" s="14">
        <v>1</v>
      </c>
      <c r="U2" s="14">
        <v>2</v>
      </c>
      <c r="V2" s="15">
        <v>0.01</v>
      </c>
      <c r="W2" s="15">
        <v>0.02</v>
      </c>
      <c r="X2" s="19" t="s">
        <v>1</v>
      </c>
      <c r="Y2" s="19" t="s">
        <v>2</v>
      </c>
      <c r="Z2" s="14">
        <v>1</v>
      </c>
      <c r="AA2" s="14">
        <v>2</v>
      </c>
      <c r="AB2" s="15">
        <v>0.01</v>
      </c>
      <c r="AC2" s="15">
        <v>0.02</v>
      </c>
      <c r="AD2" s="20" t="s">
        <v>1</v>
      </c>
      <c r="AE2" s="20" t="s">
        <v>2</v>
      </c>
      <c r="AF2" s="14">
        <v>1</v>
      </c>
      <c r="AG2" s="14">
        <v>2</v>
      </c>
      <c r="AH2" s="15">
        <v>0.01</v>
      </c>
      <c r="AI2" s="15">
        <v>0.02</v>
      </c>
      <c r="AJ2" s="21" t="s">
        <v>1</v>
      </c>
      <c r="AK2" s="21" t="s">
        <v>2</v>
      </c>
    </row>
    <row r="3" spans="1:37" x14ac:dyDescent="0.35">
      <c r="A3" s="9">
        <v>0</v>
      </c>
      <c r="B3" s="25">
        <v>392.93753682558548</v>
      </c>
      <c r="C3" s="25">
        <v>382.20869622958418</v>
      </c>
      <c r="D3" s="25">
        <f>(B3/392.94)</f>
        <v>0.99999373142359005</v>
      </c>
      <c r="E3" s="25">
        <f>(C3/382.21)</f>
        <v>0.99999658886367238</v>
      </c>
      <c r="F3" s="28">
        <f>AVERAGE(D3:E3)</f>
        <v>0.99999516014363121</v>
      </c>
      <c r="G3" s="28">
        <f>STDEV(D3:E3)</f>
        <v>2.020515259047449E-6</v>
      </c>
      <c r="H3" s="25">
        <v>373.07550536288397</v>
      </c>
      <c r="I3" s="25">
        <v>392.76002485903399</v>
      </c>
      <c r="J3" s="25">
        <f>(H3/373.08)</f>
        <v>0.99998795261843032</v>
      </c>
      <c r="K3" s="25">
        <f>(I3/392.76)</f>
        <v>1.0000000632931918</v>
      </c>
      <c r="L3" s="29">
        <f>AVERAGE(J3:K3)</f>
        <v>0.99999400795581106</v>
      </c>
      <c r="M3" s="29">
        <f>STDEV(J3:K3)</f>
        <v>8.5635402485862465E-6</v>
      </c>
      <c r="N3" s="25">
        <v>399.64451462661265</v>
      </c>
      <c r="O3" s="25">
        <v>378.54311182886198</v>
      </c>
      <c r="P3" s="25">
        <f>(N3/399.64)</f>
        <v>1.0000112967335919</v>
      </c>
      <c r="Q3" s="25">
        <f>(O3/378.54)</f>
        <v>1.0000082206077614</v>
      </c>
      <c r="R3" s="30">
        <f>AVERAGE(P3:Q3)</f>
        <v>1.0000097586706767</v>
      </c>
      <c r="S3" s="30">
        <f>STDEV(P3:Q3)</f>
        <v>2.1751494345320749E-6</v>
      </c>
      <c r="T3" s="25">
        <v>397.25590261280502</v>
      </c>
      <c r="U3" s="25">
        <v>395.38881321930103</v>
      </c>
      <c r="V3" s="25">
        <f>(T3/397.26)</f>
        <v>0.99998968588029258</v>
      </c>
      <c r="W3" s="25">
        <f>(U3/395.39)</f>
        <v>0.99999699845545165</v>
      </c>
      <c r="X3" s="31">
        <f>AVERAGE(V3:W3)</f>
        <v>0.99999334216787217</v>
      </c>
      <c r="Y3" s="31">
        <f>STDEV(V3:W3)</f>
        <v>5.1707714829136887E-6</v>
      </c>
      <c r="Z3" s="25">
        <v>419.99632689995127</v>
      </c>
      <c r="AA3" s="25">
        <v>410.889390292347</v>
      </c>
      <c r="AB3" s="25">
        <f>(Z3/420)</f>
        <v>0.99999125452369353</v>
      </c>
      <c r="AC3" s="25">
        <f>(AA3/410.89)</f>
        <v>0.99999851612924873</v>
      </c>
      <c r="AD3" s="32">
        <f>AVERAGE(AB3:AC3)</f>
        <v>0.99999488532647107</v>
      </c>
      <c r="AE3" s="32">
        <f>STDEV(AB3:AC3)</f>
        <v>5.1347305303822157E-6</v>
      </c>
      <c r="AF3" s="25">
        <v>380.19164240978102</v>
      </c>
      <c r="AG3" s="25">
        <v>381.49309201003899</v>
      </c>
      <c r="AH3" s="25">
        <f>(AF3/380.19)</f>
        <v>1.0000043199710171</v>
      </c>
      <c r="AI3" s="25">
        <f>(AG3/381.49)</f>
        <v>1.0000081050880467</v>
      </c>
      <c r="AJ3" s="33">
        <f>AVERAGE(AH3:AI3)</f>
        <v>1.0000062125295319</v>
      </c>
      <c r="AK3" s="33">
        <f>STDEV(AH3:AI3)</f>
        <v>2.6764819192053778E-6</v>
      </c>
    </row>
    <row r="4" spans="1:37" x14ac:dyDescent="0.35">
      <c r="A4" s="9">
        <v>17</v>
      </c>
      <c r="B4" s="25">
        <v>358.84902848860179</v>
      </c>
      <c r="C4" s="25">
        <v>349.43431363699051</v>
      </c>
      <c r="D4" s="25">
        <f t="shared" ref="D4:D15" si="0">(B4/392.94)</f>
        <v>0.91324127981015368</v>
      </c>
      <c r="E4" s="25">
        <f t="shared" ref="E4:E15" si="1">(C4/382.21)</f>
        <v>0.91424691566675531</v>
      </c>
      <c r="F4" s="28">
        <f t="shared" ref="F4:F13" si="2">AVERAGE(D4:E4)</f>
        <v>0.91374409773845455</v>
      </c>
      <c r="G4" s="28">
        <f t="shared" ref="G4:G13" si="3">STDEV(D4:E4)</f>
        <v>7.1109193360735349E-4</v>
      </c>
      <c r="H4" s="25">
        <v>353.46150003291189</v>
      </c>
      <c r="I4" s="25">
        <v>363.54306513001558</v>
      </c>
      <c r="J4" s="25">
        <f t="shared" ref="J4:J15" si="4">(H4/373.08)</f>
        <v>0.94741476367779542</v>
      </c>
      <c r="K4" s="25">
        <f t="shared" ref="K4:K15" si="5">(I4/392.76)</f>
        <v>0.92561122601592727</v>
      </c>
      <c r="L4" s="29">
        <f t="shared" ref="L4:L13" si="6">AVERAGE(J4:K4)</f>
        <v>0.93651299484686135</v>
      </c>
      <c r="M4" s="29">
        <f t="shared" ref="M4:M13" si="7">STDEV(J4:K4)</f>
        <v>1.5417429334563254E-2</v>
      </c>
      <c r="N4" s="25">
        <v>356.65394022822102</v>
      </c>
      <c r="O4" s="25">
        <v>352.83795544444411</v>
      </c>
      <c r="P4" s="25">
        <f t="shared" ref="P4:P15" si="8">(N4/399.64)</f>
        <v>0.8924380448108824</v>
      </c>
      <c r="Q4" s="25">
        <f t="shared" ref="Q4:Q15" si="9">(O4/378.54)</f>
        <v>0.93210217003340223</v>
      </c>
      <c r="R4" s="30">
        <f t="shared" ref="R4" si="10">AVERAGE(P4:Q4)</f>
        <v>0.91227010742214232</v>
      </c>
      <c r="S4" s="30">
        <f t="shared" ref="S4:S13" si="11">STDEV(P4:Q4)</f>
        <v>2.8046771914676149E-2</v>
      </c>
      <c r="T4" s="25">
        <v>352.19610238790801</v>
      </c>
      <c r="U4" s="25">
        <v>354.13153425579497</v>
      </c>
      <c r="V4" s="25">
        <f t="shared" ref="V4:V15" si="12">(T4/397.26)</f>
        <v>0.88656321398557125</v>
      </c>
      <c r="W4" s="25">
        <f t="shared" ref="W4:W15" si="13">(U4/395.39)</f>
        <v>0.89565121590276686</v>
      </c>
      <c r="X4" s="31">
        <f t="shared" ref="X4" si="14">AVERAGE(V4:W4)</f>
        <v>0.891107214944169</v>
      </c>
      <c r="Y4" s="31">
        <f t="shared" ref="Y4:Y13" si="15">STDEV(V4:W4)</f>
        <v>6.4261877830853603E-3</v>
      </c>
      <c r="Z4" s="25">
        <v>379.55746800724103</v>
      </c>
      <c r="AA4" s="25">
        <v>362.733903146248</v>
      </c>
      <c r="AB4" s="25">
        <f t="shared" ref="AB4:AB15" si="16">(Z4/420)</f>
        <v>0.90370825716009773</v>
      </c>
      <c r="AC4" s="25">
        <f t="shared" ref="AC4:AC15" si="17">(AA4/410.89)</f>
        <v>0.88280051387536329</v>
      </c>
      <c r="AD4" s="32">
        <f t="shared" ref="AD4:AD13" si="18">AVERAGE(AB4:AC4)</f>
        <v>0.89325438551773051</v>
      </c>
      <c r="AE4" s="32">
        <f t="shared" ref="AE4:AE13" si="19">STDEV(AB4:AC4)</f>
        <v>1.4784007055943221E-2</v>
      </c>
      <c r="AF4" s="25">
        <v>354.77785367632845</v>
      </c>
      <c r="AG4" s="25">
        <v>348.77131334232047</v>
      </c>
      <c r="AH4" s="25">
        <f t="shared" ref="AH4:AH15" si="20">(AF4/380.19)</f>
        <v>0.93315935105165426</v>
      </c>
      <c r="AI4" s="25">
        <f t="shared" ref="AI4:AI15" si="21">(AG4/381.49)</f>
        <v>0.91423448410789399</v>
      </c>
      <c r="AJ4" s="33">
        <f t="shared" ref="AJ4" si="22">AVERAGE(AH4:AI4)</f>
        <v>0.92369691757977412</v>
      </c>
      <c r="AK4" s="33">
        <f t="shared" ref="AK4:AK14" si="23">STDEV(AH4:AI4)</f>
        <v>1.3381901748986024E-2</v>
      </c>
    </row>
    <row r="5" spans="1:37" x14ac:dyDescent="0.35">
      <c r="A5" s="9">
        <v>41</v>
      </c>
      <c r="B5" s="25">
        <v>354.24730027826593</v>
      </c>
      <c r="C5" s="25">
        <v>330.86107665232328</v>
      </c>
      <c r="D5" s="25">
        <f t="shared" si="0"/>
        <v>0.90153025978079582</v>
      </c>
      <c r="E5" s="25">
        <f t="shared" si="1"/>
        <v>0.86565259059763822</v>
      </c>
      <c r="F5" s="28">
        <f t="shared" si="2"/>
        <v>0.88359142518921696</v>
      </c>
      <c r="G5" s="28">
        <f t="shared" si="3"/>
        <v>2.536934317257836E-2</v>
      </c>
      <c r="H5" s="25">
        <v>341.80746078109797</v>
      </c>
      <c r="I5" s="25">
        <v>347.82326393913229</v>
      </c>
      <c r="J5" s="25">
        <f t="shared" si="4"/>
        <v>0.91617739032137335</v>
      </c>
      <c r="K5" s="25">
        <f t="shared" si="5"/>
        <v>0.88558728979308554</v>
      </c>
      <c r="L5" s="29">
        <f>AVERAGE(J5:K5)</f>
        <v>0.90088234005722945</v>
      </c>
      <c r="M5" s="29">
        <f t="shared" si="7"/>
        <v>2.1630467520730501E-2</v>
      </c>
      <c r="N5" s="25">
        <v>354.26528439179577</v>
      </c>
      <c r="O5" s="25">
        <v>344.15385599022034</v>
      </c>
      <c r="P5" s="25">
        <f t="shared" si="8"/>
        <v>0.88646102590280196</v>
      </c>
      <c r="Q5" s="25">
        <f t="shared" si="9"/>
        <v>0.90916113486083461</v>
      </c>
      <c r="R5" s="30">
        <f>AVERAGE(P5:Q5)</f>
        <v>0.89781108038181823</v>
      </c>
      <c r="S5" s="30">
        <f t="shared" si="11"/>
        <v>1.6051400977898381E-2</v>
      </c>
      <c r="T5" s="25">
        <v>353.85923193982802</v>
      </c>
      <c r="U5" s="25">
        <v>351.958655643383</v>
      </c>
      <c r="V5" s="25">
        <f t="shared" si="12"/>
        <v>0.89074971540006054</v>
      </c>
      <c r="W5" s="25">
        <f t="shared" si="13"/>
        <v>0.89015568335917195</v>
      </c>
      <c r="X5" s="31">
        <f>AVERAGE(V5:W5)</f>
        <v>0.89045269937961624</v>
      </c>
      <c r="Y5" s="31">
        <f t="shared" si="15"/>
        <v>4.2004408435440818E-4</v>
      </c>
      <c r="Z5" s="25">
        <v>378.43951259807073</v>
      </c>
      <c r="AA5" s="25">
        <v>362.7346830305882</v>
      </c>
      <c r="AB5" s="25">
        <f t="shared" si="16"/>
        <v>0.90104645856683507</v>
      </c>
      <c r="AC5" s="25">
        <f t="shared" si="17"/>
        <v>0.88280241191216191</v>
      </c>
      <c r="AD5" s="32">
        <f t="shared" si="18"/>
        <v>0.89192443523949849</v>
      </c>
      <c r="AE5" s="32">
        <f t="shared" si="19"/>
        <v>1.290048910580314E-2</v>
      </c>
      <c r="AF5" s="25">
        <v>341.22220015559992</v>
      </c>
      <c r="AG5" s="25">
        <v>339.52017433237046</v>
      </c>
      <c r="AH5" s="25">
        <f t="shared" si="20"/>
        <v>0.89750440610115978</v>
      </c>
      <c r="AI5" s="25">
        <f t="shared" si="21"/>
        <v>0.88998446704335754</v>
      </c>
      <c r="AJ5" s="33">
        <f>AVERAGE(AH5:AI5)</f>
        <v>0.89374443657225866</v>
      </c>
      <c r="AK5" s="33">
        <f t="shared" si="23"/>
        <v>5.3173999018815395E-3</v>
      </c>
    </row>
    <row r="6" spans="1:37" x14ac:dyDescent="0.35">
      <c r="A6" s="9">
        <v>65</v>
      </c>
      <c r="B6" s="25">
        <v>359.453230266763</v>
      </c>
      <c r="C6" s="25">
        <v>335.66055579103755</v>
      </c>
      <c r="D6" s="25">
        <f t="shared" si="0"/>
        <v>0.91477892366967728</v>
      </c>
      <c r="E6" s="25">
        <f t="shared" si="1"/>
        <v>0.87820976895172176</v>
      </c>
      <c r="F6" s="28">
        <f t="shared" si="2"/>
        <v>0.89649434631069957</v>
      </c>
      <c r="G6" s="28">
        <f t="shared" si="3"/>
        <v>2.5858297283326375E-2</v>
      </c>
      <c r="H6" s="25">
        <v>345.82298441235798</v>
      </c>
      <c r="I6" s="25">
        <v>344.88230018583437</v>
      </c>
      <c r="J6" s="25">
        <f t="shared" si="4"/>
        <v>0.9269405607707677</v>
      </c>
      <c r="K6" s="25">
        <f t="shared" si="5"/>
        <v>0.87809934867561457</v>
      </c>
      <c r="L6" s="29">
        <f t="shared" si="6"/>
        <v>0.90251995472319113</v>
      </c>
      <c r="M6" s="29">
        <f t="shared" si="7"/>
        <v>3.4535952273853206E-2</v>
      </c>
      <c r="N6" s="25">
        <v>352.58325105257501</v>
      </c>
      <c r="O6" s="25">
        <v>346.78772656945802</v>
      </c>
      <c r="P6" s="25">
        <f t="shared" si="8"/>
        <v>0.88225215457055106</v>
      </c>
      <c r="Q6" s="25">
        <f t="shared" si="9"/>
        <v>0.91611910648665396</v>
      </c>
      <c r="R6" s="30">
        <f t="shared" ref="R6:R13" si="24">AVERAGE(P6:Q6)</f>
        <v>0.89918563052860256</v>
      </c>
      <c r="S6" s="30">
        <f t="shared" si="11"/>
        <v>2.3947551357995096E-2</v>
      </c>
      <c r="T6" s="25">
        <v>348.120773397665</v>
      </c>
      <c r="U6" s="25">
        <v>347.17322178805301</v>
      </c>
      <c r="V6" s="25">
        <f t="shared" si="12"/>
        <v>0.87630462014213617</v>
      </c>
      <c r="W6" s="25">
        <f t="shared" si="13"/>
        <v>0.87805261080971453</v>
      </c>
      <c r="X6" s="31">
        <f t="shared" ref="X6:X13" si="25">AVERAGE(V6:W6)</f>
        <v>0.87717861547592535</v>
      </c>
      <c r="Y6" s="31">
        <f t="shared" si="15"/>
        <v>1.2360160544954576E-3</v>
      </c>
      <c r="Z6" s="25">
        <v>374.00257898111039</v>
      </c>
      <c r="AA6" s="25">
        <v>367.12316047169764</v>
      </c>
      <c r="AB6" s="25">
        <f t="shared" si="16"/>
        <v>0.89048233090740569</v>
      </c>
      <c r="AC6" s="25">
        <f t="shared" si="17"/>
        <v>0.89348283110247917</v>
      </c>
      <c r="AD6" s="32">
        <f t="shared" si="18"/>
        <v>0.89198258100494243</v>
      </c>
      <c r="AE6" s="32">
        <f t="shared" si="19"/>
        <v>2.1216740348880122E-3</v>
      </c>
      <c r="AF6" s="25">
        <v>349.22465054395121</v>
      </c>
      <c r="AG6" s="25">
        <v>344.81614553577987</v>
      </c>
      <c r="AH6" s="25">
        <f t="shared" si="20"/>
        <v>0.91855296179265955</v>
      </c>
      <c r="AI6" s="25">
        <f t="shared" si="21"/>
        <v>0.90386680000990816</v>
      </c>
      <c r="AJ6" s="33">
        <f t="shared" ref="AJ6:AJ13" si="26">AVERAGE(AH6:AI6)</f>
        <v>0.91120988090128385</v>
      </c>
      <c r="AK6" s="33">
        <f t="shared" si="23"/>
        <v>1.0384684586186228E-2</v>
      </c>
    </row>
    <row r="7" spans="1:37" x14ac:dyDescent="0.35">
      <c r="A7" s="9">
        <v>113</v>
      </c>
      <c r="B7" s="25">
        <v>352.31175426602198</v>
      </c>
      <c r="C7" s="25">
        <v>337.50515994100601</v>
      </c>
      <c r="D7" s="25">
        <f t="shared" si="0"/>
        <v>0.89660445428315261</v>
      </c>
      <c r="E7" s="25">
        <f t="shared" si="1"/>
        <v>0.88303592250596796</v>
      </c>
      <c r="F7" s="28">
        <f t="shared" si="2"/>
        <v>0.88982018839456023</v>
      </c>
      <c r="G7" s="28">
        <f t="shared" si="3"/>
        <v>9.5944008303924192E-3</v>
      </c>
      <c r="H7" s="25">
        <v>343.31105403687701</v>
      </c>
      <c r="I7" s="25">
        <v>346.11942524302901</v>
      </c>
      <c r="J7" s="25">
        <f t="shared" si="4"/>
        <v>0.92020760704641635</v>
      </c>
      <c r="K7" s="25">
        <f t="shared" si="5"/>
        <v>0.88124917314143247</v>
      </c>
      <c r="L7" s="29">
        <f t="shared" si="6"/>
        <v>0.90072839009392447</v>
      </c>
      <c r="M7" s="29">
        <f t="shared" si="7"/>
        <v>2.754777279862201E-2</v>
      </c>
      <c r="N7" s="25">
        <v>350.21916259433999</v>
      </c>
      <c r="O7" s="25">
        <v>340.42340719229497</v>
      </c>
      <c r="P7" s="25">
        <f t="shared" si="8"/>
        <v>0.87633660943434089</v>
      </c>
      <c r="Q7" s="25">
        <f t="shared" si="9"/>
        <v>0.89930630103105336</v>
      </c>
      <c r="R7" s="30">
        <f t="shared" si="24"/>
        <v>0.88782145523269707</v>
      </c>
      <c r="S7" s="30">
        <f t="shared" si="11"/>
        <v>1.6242024689799045E-2</v>
      </c>
      <c r="T7" s="25">
        <v>348.74846287404563</v>
      </c>
      <c r="U7" s="25">
        <v>343.44217922395802</v>
      </c>
      <c r="V7" s="25">
        <f t="shared" si="12"/>
        <v>0.8778846671551267</v>
      </c>
      <c r="W7" s="25">
        <f t="shared" si="13"/>
        <v>0.86861625034512258</v>
      </c>
      <c r="X7" s="31">
        <f t="shared" si="25"/>
        <v>0.87325045875012464</v>
      </c>
      <c r="Y7" s="31">
        <f t="shared" si="15"/>
        <v>6.553760377217303E-3</v>
      </c>
      <c r="Z7" s="25">
        <v>365.34020522439403</v>
      </c>
      <c r="AA7" s="25">
        <v>360.92234205947301</v>
      </c>
      <c r="AB7" s="25">
        <f t="shared" si="16"/>
        <v>0.86985763148665241</v>
      </c>
      <c r="AC7" s="25">
        <f t="shared" si="17"/>
        <v>0.87839164267680647</v>
      </c>
      <c r="AD7" s="32">
        <f t="shared" si="18"/>
        <v>0.87412463708172949</v>
      </c>
      <c r="AE7" s="32">
        <f t="shared" si="19"/>
        <v>6.0344571832798202E-3</v>
      </c>
      <c r="AF7" s="25">
        <v>338.46215075839075</v>
      </c>
      <c r="AG7" s="25">
        <v>339.13775574556308</v>
      </c>
      <c r="AH7" s="25">
        <f t="shared" si="20"/>
        <v>0.89024474804279641</v>
      </c>
      <c r="AI7" s="25">
        <f t="shared" si="21"/>
        <v>0.88898203293811917</v>
      </c>
      <c r="AJ7" s="33">
        <f t="shared" si="26"/>
        <v>0.88961339049045773</v>
      </c>
      <c r="AK7" s="33">
        <f t="shared" si="23"/>
        <v>8.9287441322395526E-4</v>
      </c>
    </row>
    <row r="8" spans="1:37" s="12" customFormat="1" x14ac:dyDescent="0.35">
      <c r="A8" s="12">
        <v>161</v>
      </c>
      <c r="B8" s="26">
        <v>351.47611103276944</v>
      </c>
      <c r="C8" s="26">
        <v>330.93537700658902</v>
      </c>
      <c r="D8" s="26">
        <f t="shared" si="0"/>
        <v>0.8944778109451047</v>
      </c>
      <c r="E8" s="26">
        <f t="shared" si="1"/>
        <v>0.86584698727555276</v>
      </c>
      <c r="F8" s="28">
        <f t="shared" si="2"/>
        <v>0.88016239911032867</v>
      </c>
      <c r="G8" s="28">
        <f t="shared" si="3"/>
        <v>2.0245049567696492E-2</v>
      </c>
      <c r="H8" s="26">
        <v>341.46782790190503</v>
      </c>
      <c r="I8" s="26">
        <v>340.89202505300699</v>
      </c>
      <c r="J8" s="26">
        <f t="shared" si="4"/>
        <v>0.91526704165837092</v>
      </c>
      <c r="K8" s="26">
        <f t="shared" si="5"/>
        <v>0.86793977251503973</v>
      </c>
      <c r="L8" s="29">
        <f t="shared" si="6"/>
        <v>0.89160340708670538</v>
      </c>
      <c r="M8" s="29">
        <f t="shared" si="7"/>
        <v>3.3465432946290327E-2</v>
      </c>
      <c r="N8" s="26">
        <v>352.18184041082202</v>
      </c>
      <c r="O8" s="26">
        <v>341.74953207006098</v>
      </c>
      <c r="P8" s="26">
        <f t="shared" si="8"/>
        <v>0.88124772397863582</v>
      </c>
      <c r="Q8" s="26">
        <f t="shared" si="9"/>
        <v>0.90280956324314721</v>
      </c>
      <c r="R8" s="30">
        <f t="shared" si="24"/>
        <v>0.89202864361089151</v>
      </c>
      <c r="S8" s="30">
        <f t="shared" si="11"/>
        <v>1.5246522758790361E-2</v>
      </c>
      <c r="T8" s="26">
        <v>347.916870488808</v>
      </c>
      <c r="U8" s="26">
        <v>351.213635811892</v>
      </c>
      <c r="V8" s="26">
        <f t="shared" si="12"/>
        <v>0.87579134694861804</v>
      </c>
      <c r="W8" s="26">
        <f t="shared" si="13"/>
        <v>0.88827141761777495</v>
      </c>
      <c r="X8" s="31">
        <f t="shared" si="25"/>
        <v>0.88203138228319644</v>
      </c>
      <c r="Y8" s="31">
        <f t="shared" si="15"/>
        <v>8.8247425998481833E-3</v>
      </c>
      <c r="Z8" s="26">
        <v>362.73590639681601</v>
      </c>
      <c r="AA8" s="26">
        <v>364.62549106326998</v>
      </c>
      <c r="AB8" s="26">
        <f t="shared" si="16"/>
        <v>0.86365691999241911</v>
      </c>
      <c r="AC8" s="26">
        <f t="shared" si="17"/>
        <v>0.88740414968305381</v>
      </c>
      <c r="AD8" s="32">
        <f t="shared" si="18"/>
        <v>0.87553053483773646</v>
      </c>
      <c r="AE8" s="32">
        <f t="shared" si="19"/>
        <v>1.6791827148642312E-2</v>
      </c>
      <c r="AF8" s="26">
        <v>334.82756113601403</v>
      </c>
      <c r="AG8" s="26">
        <v>331.34163848922998</v>
      </c>
      <c r="AH8" s="26">
        <f t="shared" si="20"/>
        <v>0.8806848184750099</v>
      </c>
      <c r="AI8" s="26">
        <f t="shared" si="21"/>
        <v>0.86854606539943369</v>
      </c>
      <c r="AJ8" s="33">
        <f t="shared" si="26"/>
        <v>0.87461544193722185</v>
      </c>
      <c r="AK8" s="33">
        <f t="shared" si="23"/>
        <v>8.5833946148890002E-3</v>
      </c>
    </row>
    <row r="9" spans="1:37" x14ac:dyDescent="0.35">
      <c r="A9" s="9">
        <v>233</v>
      </c>
      <c r="B9" s="25">
        <v>351.81782015959999</v>
      </c>
      <c r="C9" s="25">
        <v>332.48221497716202</v>
      </c>
      <c r="D9" s="25">
        <f t="shared" si="0"/>
        <v>0.89534743258410954</v>
      </c>
      <c r="E9" s="25">
        <f t="shared" si="1"/>
        <v>0.86989407649502115</v>
      </c>
      <c r="F9" s="28">
        <f t="shared" si="2"/>
        <v>0.88262075453956534</v>
      </c>
      <c r="G9" s="28">
        <f t="shared" si="3"/>
        <v>1.7998240694550298E-2</v>
      </c>
      <c r="H9" s="25">
        <v>344.73478270691902</v>
      </c>
      <c r="I9" s="25">
        <v>340.07595030583002</v>
      </c>
      <c r="J9" s="25">
        <f t="shared" si="4"/>
        <v>0.9240237555133457</v>
      </c>
      <c r="K9" s="25">
        <f t="shared" si="5"/>
        <v>0.86586197755838179</v>
      </c>
      <c r="L9" s="29">
        <f t="shared" si="6"/>
        <v>0.89494286653586375</v>
      </c>
      <c r="M9" s="29">
        <f t="shared" si="7"/>
        <v>4.1126587597821229E-2</v>
      </c>
      <c r="N9" s="25">
        <v>352.99078116732397</v>
      </c>
      <c r="O9" s="25">
        <v>344.86798615495599</v>
      </c>
      <c r="P9" s="25">
        <f t="shared" si="8"/>
        <v>0.88327189762617353</v>
      </c>
      <c r="Q9" s="25">
        <f t="shared" si="9"/>
        <v>0.91104767304632528</v>
      </c>
      <c r="R9" s="30">
        <f t="shared" si="24"/>
        <v>0.8971597853362494</v>
      </c>
      <c r="S9" s="30">
        <f t="shared" si="11"/>
        <v>1.9640439152303929E-2</v>
      </c>
      <c r="T9" s="25">
        <v>346.92194794800503</v>
      </c>
      <c r="U9" s="25">
        <v>338.13873796450002</v>
      </c>
      <c r="V9" s="25">
        <f t="shared" si="12"/>
        <v>0.87328688503248508</v>
      </c>
      <c r="W9" s="25">
        <f t="shared" si="13"/>
        <v>0.85520306017982251</v>
      </c>
      <c r="X9" s="31">
        <f t="shared" si="25"/>
        <v>0.86424497260615385</v>
      </c>
      <c r="Y9" s="31">
        <f t="shared" si="15"/>
        <v>1.2787195183107527E-2</v>
      </c>
      <c r="Z9" s="25">
        <v>361.89291949607741</v>
      </c>
      <c r="AA9" s="25">
        <v>360.36344400469198</v>
      </c>
      <c r="AB9" s="25">
        <f t="shared" si="16"/>
        <v>0.86164980832399385</v>
      </c>
      <c r="AC9" s="25">
        <f t="shared" si="17"/>
        <v>0.87703142934773781</v>
      </c>
      <c r="AD9" s="32">
        <f t="shared" si="18"/>
        <v>0.86934061883586589</v>
      </c>
      <c r="AE9" s="32">
        <f t="shared" si="19"/>
        <v>1.0876448531530922E-2</v>
      </c>
      <c r="AF9" s="25">
        <v>339.80351623716501</v>
      </c>
      <c r="AG9" s="25">
        <v>345.43923812323902</v>
      </c>
      <c r="AH9" s="25">
        <f t="shared" si="20"/>
        <v>0.89377289312492447</v>
      </c>
      <c r="AI9" s="25">
        <f t="shared" si="21"/>
        <v>0.90550011303897615</v>
      </c>
      <c r="AJ9" s="33">
        <f t="shared" si="26"/>
        <v>0.89963650308195031</v>
      </c>
      <c r="AK9" s="33">
        <f t="shared" si="23"/>
        <v>8.292396725691863E-3</v>
      </c>
    </row>
    <row r="10" spans="1:37" x14ac:dyDescent="0.35">
      <c r="A10" s="9">
        <v>305</v>
      </c>
      <c r="B10" s="25">
        <v>341.46845188177235</v>
      </c>
      <c r="C10" s="25">
        <v>338.74984370161002</v>
      </c>
      <c r="D10" s="25">
        <f t="shared" si="0"/>
        <v>0.86900914104385496</v>
      </c>
      <c r="E10" s="25">
        <f t="shared" si="1"/>
        <v>0.88629246671099671</v>
      </c>
      <c r="F10" s="28">
        <f t="shared" si="2"/>
        <v>0.87765080387742578</v>
      </c>
      <c r="G10" s="28">
        <f t="shared" si="3"/>
        <v>1.2221156780691439E-2</v>
      </c>
      <c r="H10" s="25">
        <v>340.15805532766399</v>
      </c>
      <c r="I10" s="25">
        <v>343.44533738297298</v>
      </c>
      <c r="J10" s="25">
        <f t="shared" si="4"/>
        <v>0.91175634000124373</v>
      </c>
      <c r="K10" s="25">
        <f t="shared" si="5"/>
        <v>0.87444072049845445</v>
      </c>
      <c r="L10" s="29">
        <f t="shared" si="6"/>
        <v>0.89309853024984909</v>
      </c>
      <c r="M10" s="29">
        <f t="shared" si="7"/>
        <v>2.6386127594599282E-2</v>
      </c>
      <c r="N10" s="25">
        <v>350.73711105423399</v>
      </c>
      <c r="O10" s="25">
        <v>344.06904794637501</v>
      </c>
      <c r="P10" s="25">
        <f t="shared" si="8"/>
        <v>0.87763264701790111</v>
      </c>
      <c r="Q10" s="25">
        <f t="shared" si="9"/>
        <v>0.90893709501340669</v>
      </c>
      <c r="R10" s="30">
        <f t="shared" si="24"/>
        <v>0.8932848710156539</v>
      </c>
      <c r="S10" s="30">
        <f t="shared" si="11"/>
        <v>2.213558745892362E-2</v>
      </c>
      <c r="T10" s="25">
        <v>341.23103560558798</v>
      </c>
      <c r="U10" s="25">
        <v>335.36637746009598</v>
      </c>
      <c r="V10" s="25">
        <f t="shared" si="12"/>
        <v>0.85896147511853194</v>
      </c>
      <c r="W10" s="25">
        <f t="shared" si="13"/>
        <v>0.84819134894685244</v>
      </c>
      <c r="X10" s="31">
        <f t="shared" si="25"/>
        <v>0.85357641203269219</v>
      </c>
      <c r="Y10" s="31">
        <f t="shared" si="15"/>
        <v>7.6156292502292814E-3</v>
      </c>
      <c r="Z10" s="25">
        <v>362.5278714867278</v>
      </c>
      <c r="AA10" s="25">
        <v>360.764776153009</v>
      </c>
      <c r="AB10" s="25">
        <f t="shared" si="16"/>
        <v>0.86316159877792331</v>
      </c>
      <c r="AC10" s="25">
        <f t="shared" si="17"/>
        <v>0.87800816800849135</v>
      </c>
      <c r="AD10" s="32">
        <f t="shared" si="18"/>
        <v>0.87058488339320728</v>
      </c>
      <c r="AE10" s="32">
        <f t="shared" si="19"/>
        <v>1.0498109780290204E-2</v>
      </c>
      <c r="AF10" s="25">
        <v>332.191846706327</v>
      </c>
      <c r="AG10" s="25">
        <v>334.16729853955798</v>
      </c>
      <c r="AH10" s="25">
        <f t="shared" si="20"/>
        <v>0.87375219418271655</v>
      </c>
      <c r="AI10" s="25">
        <f t="shared" si="21"/>
        <v>0.87595297003737438</v>
      </c>
      <c r="AJ10" s="33">
        <f t="shared" si="26"/>
        <v>0.87485258211004546</v>
      </c>
      <c r="AK10" s="33">
        <f t="shared" si="23"/>
        <v>1.5561835307001731E-3</v>
      </c>
    </row>
    <row r="11" spans="1:37" x14ac:dyDescent="0.35">
      <c r="A11" s="9">
        <v>353</v>
      </c>
      <c r="B11" s="25">
        <v>349.43155924272298</v>
      </c>
      <c r="C11" s="25">
        <v>337.23569551176701</v>
      </c>
      <c r="D11" s="25">
        <f t="shared" si="0"/>
        <v>0.88927459470332104</v>
      </c>
      <c r="E11" s="25">
        <f t="shared" si="1"/>
        <v>0.88233090581556484</v>
      </c>
      <c r="F11" s="28">
        <f t="shared" si="2"/>
        <v>0.88580275025944299</v>
      </c>
      <c r="G11" s="28">
        <f t="shared" si="3"/>
        <v>4.9099294989820887E-3</v>
      </c>
      <c r="H11" s="25">
        <v>340.50452283486101</v>
      </c>
      <c r="I11" s="25">
        <v>343.39385081258098</v>
      </c>
      <c r="J11" s="25">
        <f t="shared" si="4"/>
        <v>0.91268500813461195</v>
      </c>
      <c r="K11" s="25">
        <f t="shared" si="5"/>
        <v>0.87430963135905126</v>
      </c>
      <c r="L11" s="29">
        <f t="shared" si="6"/>
        <v>0.89349731974683166</v>
      </c>
      <c r="M11" s="29">
        <f t="shared" si="7"/>
        <v>2.7135489148587707E-2</v>
      </c>
      <c r="N11" s="25">
        <v>357.27777260111401</v>
      </c>
      <c r="O11" s="25">
        <v>349.16048802988502</v>
      </c>
      <c r="P11" s="25">
        <f t="shared" si="8"/>
        <v>0.89399903063035235</v>
      </c>
      <c r="Q11" s="25">
        <f t="shared" si="9"/>
        <v>0.92238729864713109</v>
      </c>
      <c r="R11" s="30">
        <f t="shared" si="24"/>
        <v>0.90819316463874178</v>
      </c>
      <c r="S11" s="30">
        <f t="shared" si="11"/>
        <v>2.007353682080543E-2</v>
      </c>
      <c r="T11" s="25">
        <v>340.29758288306601</v>
      </c>
      <c r="U11" s="25">
        <v>324.92076788626201</v>
      </c>
      <c r="V11" s="25">
        <f t="shared" si="12"/>
        <v>0.85661174767926807</v>
      </c>
      <c r="W11" s="25">
        <f t="shared" si="13"/>
        <v>0.82177285183303073</v>
      </c>
      <c r="X11" s="31">
        <f t="shared" si="25"/>
        <v>0.8391922997561494</v>
      </c>
      <c r="Y11" s="31">
        <f t="shared" si="15"/>
        <v>2.4634819501926267E-2</v>
      </c>
      <c r="Z11" s="25">
        <v>365.45943696526098</v>
      </c>
      <c r="AA11" s="25">
        <v>369.759258373965</v>
      </c>
      <c r="AB11" s="25">
        <f t="shared" si="16"/>
        <v>0.87014151658395467</v>
      </c>
      <c r="AC11" s="25">
        <f t="shared" si="17"/>
        <v>0.89989841167700602</v>
      </c>
      <c r="AD11" s="32">
        <f t="shared" si="18"/>
        <v>0.88501996413048034</v>
      </c>
      <c r="AE11" s="32">
        <f t="shared" si="19"/>
        <v>2.1041302307353311E-2</v>
      </c>
      <c r="AF11" s="25">
        <v>339.009514253585</v>
      </c>
      <c r="AG11" s="25">
        <v>342.45364880416599</v>
      </c>
      <c r="AH11" s="25">
        <f t="shared" si="20"/>
        <v>0.89168445843810984</v>
      </c>
      <c r="AI11" s="25">
        <f t="shared" si="21"/>
        <v>0.89767398569861856</v>
      </c>
      <c r="AJ11" s="33">
        <f t="shared" si="26"/>
        <v>0.89467922206836414</v>
      </c>
      <c r="AK11" s="33">
        <f t="shared" si="23"/>
        <v>4.2352353420074011E-3</v>
      </c>
    </row>
    <row r="12" spans="1:37" x14ac:dyDescent="0.35">
      <c r="A12" s="9">
        <v>425</v>
      </c>
      <c r="B12" s="25">
        <v>348.21386867642798</v>
      </c>
      <c r="C12" s="25">
        <v>332.10277872181598</v>
      </c>
      <c r="D12" s="25">
        <f t="shared" si="0"/>
        <v>0.88617567230729366</v>
      </c>
      <c r="E12" s="25">
        <f t="shared" si="1"/>
        <v>0.86890133361716337</v>
      </c>
      <c r="F12" s="28">
        <f t="shared" si="2"/>
        <v>0.87753850296222846</v>
      </c>
      <c r="G12" s="28">
        <f t="shared" si="3"/>
        <v>1.2214802028304267E-2</v>
      </c>
      <c r="H12" s="25">
        <v>337.50211807800798</v>
      </c>
      <c r="I12" s="25">
        <v>343.46091554081693</v>
      </c>
      <c r="J12" s="25">
        <f t="shared" si="4"/>
        <v>0.90463739165328616</v>
      </c>
      <c r="K12" s="25">
        <f t="shared" si="5"/>
        <v>0.87448038379880066</v>
      </c>
      <c r="L12" s="29">
        <f t="shared" si="6"/>
        <v>0.88955888772604341</v>
      </c>
      <c r="M12" s="29">
        <f t="shared" si="7"/>
        <v>2.1324224754202672E-2</v>
      </c>
      <c r="N12" s="25">
        <v>356.73499123048407</v>
      </c>
      <c r="O12" s="25">
        <v>345.92677613813601</v>
      </c>
      <c r="P12" s="25">
        <f t="shared" si="8"/>
        <v>0.89264085484557121</v>
      </c>
      <c r="Q12" s="25">
        <f t="shared" si="9"/>
        <v>0.91384470898223702</v>
      </c>
      <c r="R12" s="30">
        <f t="shared" si="24"/>
        <v>0.90324278191390417</v>
      </c>
      <c r="S12" s="30">
        <f t="shared" si="11"/>
        <v>1.4993389047326822E-2</v>
      </c>
      <c r="T12" s="25">
        <v>334.57827512251799</v>
      </c>
      <c r="U12" s="25">
        <v>340.18750475565503</v>
      </c>
      <c r="V12" s="25">
        <f t="shared" si="12"/>
        <v>0.84221485959451747</v>
      </c>
      <c r="W12" s="25">
        <f t="shared" si="13"/>
        <v>0.86038469550483077</v>
      </c>
      <c r="X12" s="31">
        <f t="shared" si="25"/>
        <v>0.85129977754967412</v>
      </c>
      <c r="Y12" s="31">
        <f t="shared" si="15"/>
        <v>1.2848014185229375E-2</v>
      </c>
      <c r="Z12" s="25">
        <v>366.29392181052202</v>
      </c>
      <c r="AA12" s="25">
        <v>366.02468393613498</v>
      </c>
      <c r="AB12" s="25">
        <f t="shared" si="16"/>
        <v>0.87212838526314762</v>
      </c>
      <c r="AC12" s="25">
        <f t="shared" si="17"/>
        <v>0.89080942329123358</v>
      </c>
      <c r="AD12" s="32">
        <f t="shared" si="18"/>
        <v>0.8814689042771906</v>
      </c>
      <c r="AE12" s="32">
        <f t="shared" si="19"/>
        <v>1.3209488669263353E-2</v>
      </c>
      <c r="AF12" s="25">
        <v>332.137629727469</v>
      </c>
      <c r="AG12" s="25">
        <v>335.137939416954</v>
      </c>
      <c r="AH12" s="25">
        <f t="shared" si="20"/>
        <v>0.87360958922504273</v>
      </c>
      <c r="AI12" s="25">
        <f t="shared" si="21"/>
        <v>0.87849731163845446</v>
      </c>
      <c r="AJ12" s="33">
        <f t="shared" si="26"/>
        <v>0.87605345043174854</v>
      </c>
      <c r="AK12" s="33">
        <f t="shared" si="23"/>
        <v>3.4561416630809138E-3</v>
      </c>
    </row>
    <row r="13" spans="1:37" x14ac:dyDescent="0.35">
      <c r="A13" s="9">
        <v>497</v>
      </c>
      <c r="B13" s="25">
        <v>344.91903903037598</v>
      </c>
      <c r="C13" s="25">
        <v>320.63275689092842</v>
      </c>
      <c r="D13" s="25">
        <f t="shared" si="0"/>
        <v>0.87779060169587209</v>
      </c>
      <c r="E13" s="25">
        <f t="shared" si="1"/>
        <v>0.83889159595753238</v>
      </c>
      <c r="F13" s="28">
        <f t="shared" si="2"/>
        <v>0.85834109882670218</v>
      </c>
      <c r="G13" s="28">
        <f t="shared" si="3"/>
        <v>2.7505750738994434E-2</v>
      </c>
      <c r="H13" s="25">
        <v>337.60229151449897</v>
      </c>
      <c r="I13" s="25">
        <v>343.847625649576</v>
      </c>
      <c r="J13" s="25">
        <f t="shared" si="4"/>
        <v>0.90490589555725043</v>
      </c>
      <c r="K13" s="25">
        <f t="shared" si="5"/>
        <v>0.87546498026676856</v>
      </c>
      <c r="L13" s="29">
        <f t="shared" si="6"/>
        <v>0.89018543791200955</v>
      </c>
      <c r="M13" s="29">
        <f t="shared" si="7"/>
        <v>2.0817870846238446E-2</v>
      </c>
      <c r="N13" s="25">
        <v>353.85101094393502</v>
      </c>
      <c r="O13" s="25">
        <v>341.79347664213498</v>
      </c>
      <c r="P13" s="25">
        <f t="shared" si="8"/>
        <v>0.88542440932823296</v>
      </c>
      <c r="Q13" s="25">
        <f t="shared" si="9"/>
        <v>0.90292565288248261</v>
      </c>
      <c r="R13" s="30">
        <f t="shared" si="24"/>
        <v>0.89417503110535779</v>
      </c>
      <c r="S13" s="30">
        <f t="shared" si="11"/>
        <v>1.237524799640728E-2</v>
      </c>
      <c r="T13" s="25">
        <v>346.48821785779802</v>
      </c>
      <c r="U13" s="25">
        <v>337.641248788962</v>
      </c>
      <c r="V13" s="25">
        <f t="shared" si="12"/>
        <v>0.87219508094899567</v>
      </c>
      <c r="W13" s="25">
        <f t="shared" si="13"/>
        <v>0.85394483620972206</v>
      </c>
      <c r="X13" s="31">
        <f t="shared" si="25"/>
        <v>0.86306995857935886</v>
      </c>
      <c r="Y13" s="31">
        <f t="shared" si="15"/>
        <v>1.2904871813454486E-2</v>
      </c>
      <c r="Z13" s="25">
        <v>361.35489579332699</v>
      </c>
      <c r="AA13" s="25">
        <v>369.93745648969201</v>
      </c>
      <c r="AB13" s="25">
        <f t="shared" si="16"/>
        <v>0.86036879950792144</v>
      </c>
      <c r="AC13" s="25">
        <f t="shared" si="17"/>
        <v>0.90033209980698492</v>
      </c>
      <c r="AD13" s="32">
        <f t="shared" si="18"/>
        <v>0.88035044965745324</v>
      </c>
      <c r="AE13" s="32">
        <f t="shared" si="19"/>
        <v>2.8258320640062166E-2</v>
      </c>
      <c r="AF13" s="25">
        <v>337.30075984271798</v>
      </c>
      <c r="AG13" s="25">
        <v>334.59059637577201</v>
      </c>
      <c r="AH13" s="25">
        <f t="shared" si="20"/>
        <v>0.88718998354169754</v>
      </c>
      <c r="AI13" s="25">
        <f t="shared" si="21"/>
        <v>0.87706256094726465</v>
      </c>
      <c r="AJ13" s="33">
        <f t="shared" si="26"/>
        <v>0.88212627224448115</v>
      </c>
      <c r="AK13" s="33">
        <f t="shared" si="23"/>
        <v>7.1611691924653538E-3</v>
      </c>
    </row>
    <row r="14" spans="1:37" x14ac:dyDescent="0.35">
      <c r="A14" s="9">
        <v>593</v>
      </c>
      <c r="B14" s="23">
        <v>346.227444805132</v>
      </c>
      <c r="C14" s="23">
        <v>327.55008598857</v>
      </c>
      <c r="D14" s="25">
        <f t="shared" si="0"/>
        <v>0.88112038684056593</v>
      </c>
      <c r="E14" s="25">
        <f t="shared" si="1"/>
        <v>0.85698983801724193</v>
      </c>
      <c r="F14" s="28">
        <f t="shared" ref="F14:F15" si="27">AVERAGE(D14:E14)</f>
        <v>0.86905511242890388</v>
      </c>
      <c r="G14" s="28">
        <f t="shared" ref="G14:G15" si="28">STDEV(D14:E14)</f>
        <v>1.7062874706725462E-2</v>
      </c>
      <c r="H14" s="23">
        <v>335.63839732533103</v>
      </c>
      <c r="I14" s="23">
        <v>341.48936185160699</v>
      </c>
      <c r="J14" s="25">
        <f t="shared" si="4"/>
        <v>0.89964189269146311</v>
      </c>
      <c r="K14" s="25">
        <f t="shared" si="5"/>
        <v>0.86946064225381148</v>
      </c>
      <c r="L14" s="29">
        <f t="shared" ref="L14" si="29">AVERAGE(J14:K14)</f>
        <v>0.88455126747263724</v>
      </c>
      <c r="M14" s="29">
        <f t="shared" ref="M14" si="30">STDEV(J14:K14)</f>
        <v>2.1341366849152922E-2</v>
      </c>
      <c r="N14" s="23">
        <v>352.52565089273202</v>
      </c>
      <c r="O14" s="23">
        <v>341.76696987912499</v>
      </c>
      <c r="P14" s="25">
        <f t="shared" si="8"/>
        <v>0.88210802445383851</v>
      </c>
      <c r="Q14" s="25">
        <f t="shared" si="9"/>
        <v>0.90285562920464146</v>
      </c>
      <c r="R14" s="30">
        <f t="shared" ref="R14" si="31">AVERAGE(P14:Q14)</f>
        <v>0.89248182682924004</v>
      </c>
      <c r="S14" s="30">
        <f t="shared" ref="S14" si="32">STDEV(P14:Q14)</f>
        <v>1.4670772012670997E-2</v>
      </c>
      <c r="T14" s="23">
        <v>346.00976735089398</v>
      </c>
      <c r="U14" s="23">
        <v>338.04266595741097</v>
      </c>
      <c r="V14" s="25">
        <f t="shared" si="12"/>
        <v>0.87099070470446049</v>
      </c>
      <c r="W14" s="25">
        <f t="shared" si="13"/>
        <v>0.85496007981337663</v>
      </c>
      <c r="X14" s="31">
        <f t="shared" ref="X14" si="33">AVERAGE(V14:W14)</f>
        <v>0.86297539225891851</v>
      </c>
      <c r="Y14" s="31">
        <f t="shared" ref="Y14" si="34">STDEV(V14:W14)</f>
        <v>1.1335363567143262E-2</v>
      </c>
      <c r="Z14" s="23">
        <v>366.26624909839899</v>
      </c>
      <c r="AA14" s="23">
        <v>369.18360256754499</v>
      </c>
      <c r="AB14" s="25">
        <f t="shared" si="16"/>
        <v>0.8720624978533309</v>
      </c>
      <c r="AC14" s="25">
        <f t="shared" si="17"/>
        <v>0.89849741431415953</v>
      </c>
      <c r="AD14" s="32">
        <f t="shared" ref="AD14" si="35">AVERAGE(AB14:AC14)</f>
        <v>0.88527995608374521</v>
      </c>
      <c r="AE14" s="32">
        <f t="shared" ref="AE14" si="36">STDEV(AB14:AC14)</f>
        <v>1.8692308689551813E-2</v>
      </c>
      <c r="AF14" s="23">
        <v>342.307669650099</v>
      </c>
      <c r="AG14" s="23">
        <v>336.75416041163015</v>
      </c>
      <c r="AH14" s="25">
        <f t="shared" si="20"/>
        <v>0.90035947723532705</v>
      </c>
      <c r="AI14" s="25">
        <f t="shared" si="21"/>
        <v>0.8827339128460252</v>
      </c>
      <c r="AJ14" s="33">
        <f t="shared" ref="AJ14" si="37">AVERAGE(AH14:AI14)</f>
        <v>0.89154669504067607</v>
      </c>
      <c r="AK14" s="33">
        <f t="shared" si="23"/>
        <v>1.2463156101915469E-2</v>
      </c>
    </row>
    <row r="15" spans="1:37" x14ac:dyDescent="0.35">
      <c r="A15" s="9">
        <v>737</v>
      </c>
      <c r="B15" s="23">
        <v>337.38427924599898</v>
      </c>
      <c r="C15" s="23">
        <v>330.88547842186</v>
      </c>
      <c r="D15" s="25">
        <f t="shared" si="0"/>
        <v>0.85861525740825317</v>
      </c>
      <c r="E15" s="25">
        <f t="shared" si="1"/>
        <v>0.86571643447806179</v>
      </c>
      <c r="F15" s="28">
        <f t="shared" si="27"/>
        <v>0.86216584594315748</v>
      </c>
      <c r="G15" s="28">
        <f t="shared" si="28"/>
        <v>5.021290460468091E-3</v>
      </c>
      <c r="H15" s="23">
        <v>330.85638921222397</v>
      </c>
      <c r="I15" s="23">
        <v>335.53684177625303</v>
      </c>
      <c r="J15" s="25">
        <f t="shared" si="4"/>
        <v>0.8868242446987884</v>
      </c>
      <c r="K15" s="25">
        <f t="shared" si="5"/>
        <v>0.85430502540037945</v>
      </c>
      <c r="L15" s="29">
        <f t="shared" ref="L15" si="38">AVERAGE(J15:K15)</f>
        <v>0.87056463504958392</v>
      </c>
      <c r="M15" s="29">
        <f t="shared" ref="M15" si="39">STDEV(J15:K15)</f>
        <v>2.2994560484797415E-2</v>
      </c>
      <c r="N15" s="23">
        <v>340.70195623901799</v>
      </c>
      <c r="O15" s="23">
        <v>349.06579519769298</v>
      </c>
      <c r="P15" s="25">
        <f t="shared" si="8"/>
        <v>0.85252216054203278</v>
      </c>
      <c r="Q15" s="25">
        <f t="shared" si="9"/>
        <v>0.92213714587016682</v>
      </c>
      <c r="R15" s="30">
        <f t="shared" ref="R15" si="40">AVERAGE(P15:Q15)</f>
        <v>0.8873296532060998</v>
      </c>
      <c r="S15" s="30">
        <f t="shared" ref="S15" si="41">STDEV(P15:Q15)</f>
        <v>4.9225228197725589E-2</v>
      </c>
      <c r="T15" s="23">
        <v>344.29285576654797</v>
      </c>
      <c r="U15" s="23">
        <v>335.40499903654899</v>
      </c>
      <c r="V15" s="25">
        <f t="shared" si="12"/>
        <v>0.86666882083911789</v>
      </c>
      <c r="W15" s="25">
        <f t="shared" si="13"/>
        <v>0.84828902864652367</v>
      </c>
      <c r="X15" s="31">
        <f t="shared" ref="X15" si="42">AVERAGE(V15:W15)</f>
        <v>0.85747892474282073</v>
      </c>
      <c r="Y15" s="31">
        <f t="shared" ref="Y15" si="43">STDEV(V15:W15)</f>
        <v>1.299647569618294E-2</v>
      </c>
      <c r="Z15" s="23">
        <v>360.68184443661698</v>
      </c>
      <c r="AA15" s="23">
        <v>362.30575685444097</v>
      </c>
      <c r="AB15" s="25">
        <f t="shared" si="16"/>
        <v>0.85876629627765944</v>
      </c>
      <c r="AC15" s="25">
        <f t="shared" si="17"/>
        <v>0.8817585165237436</v>
      </c>
      <c r="AD15" s="32">
        <f t="shared" ref="AD15" si="44">AVERAGE(AB15:AC15)</f>
        <v>0.87026240640070152</v>
      </c>
      <c r="AE15" s="32">
        <f t="shared" ref="AE15" si="45">STDEV(AB15:AC15)</f>
        <v>1.625795485054074E-2</v>
      </c>
      <c r="AF15" s="23">
        <v>341.765904744247</v>
      </c>
      <c r="AG15" s="23">
        <v>334.99351119633297</v>
      </c>
      <c r="AH15" s="25">
        <f t="shared" si="20"/>
        <v>0.89893449260697811</v>
      </c>
      <c r="AI15" s="25">
        <f t="shared" si="21"/>
        <v>0.8781187218441715</v>
      </c>
      <c r="AJ15" s="33">
        <f t="shared" ref="AJ15" si="46">AVERAGE(AH15:AI15)</f>
        <v>0.88852660722557486</v>
      </c>
      <c r="AK15" s="33">
        <f t="shared" ref="AK15" si="47">STDEV(AH15:AI15)</f>
        <v>1.4718972662005225E-2</v>
      </c>
    </row>
    <row r="20" spans="5:20" x14ac:dyDescent="0.35">
      <c r="E20" s="13"/>
      <c r="H20" s="13"/>
      <c r="K20" s="13"/>
      <c r="N20" s="13"/>
      <c r="Q20" s="13"/>
      <c r="T20" s="13"/>
    </row>
  </sheetData>
  <mergeCells count="7">
    <mergeCell ref="Z1:AE1"/>
    <mergeCell ref="AF1:AK1"/>
    <mergeCell ref="A1:A2"/>
    <mergeCell ref="B1:G1"/>
    <mergeCell ref="H1:M1"/>
    <mergeCell ref="N1:S1"/>
    <mergeCell ref="T1:Y1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51E45CC7D16E4786CA32D6CD85CF39" ma:contentTypeVersion="10" ma:contentTypeDescription="Een nieuw document maken." ma:contentTypeScope="" ma:versionID="1e49fa5efead13b302ef30c015fed214">
  <xsd:schema xmlns:xsd="http://www.w3.org/2001/XMLSchema" xmlns:xs="http://www.w3.org/2001/XMLSchema" xmlns:p="http://schemas.microsoft.com/office/2006/metadata/properties" xmlns:ns3="3ffa7738-bc79-438c-83ec-90d19dddbc47" targetNamespace="http://schemas.microsoft.com/office/2006/metadata/properties" ma:root="true" ma:fieldsID="550af5f683e57c70ed43839cccbb0e46" ns3:_="">
    <xsd:import namespace="3ffa7738-bc79-438c-83ec-90d19dddbc4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fa7738-bc79-438c-83ec-90d19dddbc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557662-07DA-474A-B331-3BC9F7A249AF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3ffa7738-bc79-438c-83ec-90d19dddbc47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E726931-4139-47AE-92DD-79C74623B82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35355B-FCCB-40AC-B090-47C7941B55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fa7738-bc79-438c-83ec-90d19dddbc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Caffeine</vt:lpstr>
      <vt:lpstr>Benzotriazole</vt:lpstr>
      <vt:lpstr>BAM</vt:lpstr>
      <vt:lpstr>Bentazone</vt:lpstr>
      <vt:lpstr>Ioxitalamic acid</vt:lpstr>
      <vt:lpstr>Chloridazon</vt:lpstr>
      <vt:lpstr>Salicylic acid</vt:lpstr>
      <vt:lpstr>2，4-D</vt:lpstr>
      <vt:lpstr>MCPP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Wang, Jinsong</dc:creator>
  <cp:lastModifiedBy>Wang, Jinsong</cp:lastModifiedBy>
  <dcterms:created xsi:type="dcterms:W3CDTF">2020-04-01T14:38:01Z</dcterms:created>
  <dcterms:modified xsi:type="dcterms:W3CDTF">2023-01-31T19:36:46Z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0x010100AB51E45CC7D16E4786CA32D6CD85CF39</vt:lpwstr>
  </property>
</Properties>
</file>